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Importante\DICTADO\PUCP\Fincorp 2_Pedro Villegas\FINCORP 2021-2\Prácticas\PD3\"/>
    </mc:Choice>
  </mc:AlternateContent>
  <xr:revisionPtr revIDLastSave="0" documentId="8_{E4795DA9-4F82-4078-BED7-E4BF32433292}" xr6:coauthVersionLast="47" xr6:coauthVersionMax="47" xr10:uidLastSave="{00000000-0000-0000-0000-000000000000}"/>
  <bookViews>
    <workbookView xWindow="-108" yWindow="-108" windowWidth="23256" windowHeight="12576" tabRatio="864" firstSheet="1" activeTab="6" xr2:uid="{00000000-000D-0000-FFFF-FFFF00000000}"/>
  </bookViews>
  <sheets>
    <sheet name="Title Page" sheetId="4" state="hidden" r:id="rId1"/>
    <sheet name="Income Statement" sheetId="5" r:id="rId2"/>
    <sheet name="Balance Sheet" sheetId="6" r:id="rId3"/>
    <sheet name="Assumptions" sheetId="7" r:id="rId4"/>
    <sheet name="Summary" sheetId="9" r:id="rId5"/>
    <sheet name="Decomp_ROE" sheetId="10" r:id="rId6"/>
    <sheet name="DDM US$" sheetId="11" r:id="rId7"/>
  </sheets>
  <definedNames>
    <definedName name="__FDS_HYPERLINK_TOGGLE_STATE__" hidden="1">"ON"</definedName>
    <definedName name="A_ALL_BAP">#REF!</definedName>
    <definedName name="A_ALL_BAP_">#REF!</definedName>
    <definedName name="A_ALL_KEYWORDS_TYPE_ScalarContributed_EQTY_200010048">#REF!,#REF!,#REF!,#REF!,#REF!,#REF!</definedName>
    <definedName name="A_ALL_KEYWORDS_TYPE_ScalarReference_EQTY_200010048">#REF!</definedName>
    <definedName name="A_ALL_KEYWORDS_TYPE_ScalarReference_ISSR_208007774">#REF!</definedName>
    <definedName name="A_ALL_KEYWORDS_TYPE_Vector_EQTY_200010048">#REF!,#REF!,#REF!,#REF!,#REF!,#REF!,#REF!</definedName>
    <definedName name="A_ALL_KEYWORDS_TYPE_Vector_ISSR_208007774">#REF!,#REF!,#REF!,#REF!,#REF!,#REF!,#REF!,#REF!,#REF!,#REF!,#REF!,#REF!,#REF!,#REF!,#REF!,#REF!,#REF!,#REF!,#REF!,#REF!,#REF!,#REF!,#REF!,#REF!,#REF!</definedName>
    <definedName name="A_ALL_SECTION_KEYWORDS_EQTY_200010048_1314">#REF!</definedName>
    <definedName name="A_ALL_SECTION_KEYWORDS_EQTY_200010048_1319">#REF!</definedName>
    <definedName name="A_ALL_SECTION_KEYWORDS_EQTY_200010048_131O">#REF!</definedName>
    <definedName name="A_ALL_SECTION_KEYWORDS_EQTY_200010048_13A">#REF!</definedName>
    <definedName name="A_ALL_SECTION_KEYWORDS_EQTY_200010048_13K">#REF!</definedName>
    <definedName name="A_ALL_SECTION_KEYWORDS_EQTY_200010048_13U">#REF!</definedName>
    <definedName name="A_ALL_SECTION_KEYWORDS_EQTY_200010048_13V">#REF!</definedName>
    <definedName name="A_ALL_SECTION_KEYWORDS_EQTY_200010048_13W">#REF!</definedName>
    <definedName name="A_ALL_SECTION_KEYWORDS_EQTY_200010048_Reference_Data">#REF!</definedName>
    <definedName name="A_ALL_SECTION_KEYWORDS_ISSR_208007774_1314">#REF!</definedName>
    <definedName name="A_ALL_SECTION_KEYWORDS_ISSR_208007774_13168">#REF!</definedName>
    <definedName name="A_ALL_SECTION_KEYWORDS_ISSR_208007774_1316U">#REF!</definedName>
    <definedName name="A_ALL_SECTION_KEYWORDS_ISSR_208007774_1319">#REF!</definedName>
    <definedName name="A_ALL_SECTION_KEYWORDS_ISSR_208007774_131E">#REF!</definedName>
    <definedName name="A_ALL_SECTION_KEYWORDS_ISSR_208007774_131J">#REF!</definedName>
    <definedName name="A_ALL_SECTION_KEYWORDS_ISSR_208007774_131O">#REF!</definedName>
    <definedName name="A_ALL_SECTION_KEYWORDS_ISSR_208007774_133M">#REF!</definedName>
    <definedName name="A_ALL_SECTION_KEYWORDS_ISSR_208007774_133R">#REF!</definedName>
    <definedName name="A_ALL_SECTION_KEYWORDS_ISSR_208007774_133W">#REF!</definedName>
    <definedName name="A_ALL_SECTION_KEYWORDS_ISSR_208007774_1341">#REF!</definedName>
    <definedName name="A_ALL_SECTION_KEYWORDS_ISSR_208007774_1346">#REF!</definedName>
    <definedName name="A_ALL_SECTION_KEYWORDS_ISSR_208007774_134B">#REF!</definedName>
    <definedName name="A_ALL_SECTION_KEYWORDS_ISSR_208007774_134G">#REF!</definedName>
    <definedName name="A_ALL_SECTION_KEYWORDS_ISSR_208007774_134L">#REF!</definedName>
    <definedName name="A_ALL_SECTION_KEYWORDS_ISSR_208007774_134Q">#REF!</definedName>
    <definedName name="A_ALL_SECTION_KEYWORDS_ISSR_208007774_134V">#REF!</definedName>
    <definedName name="A_ALL_SECTION_KEYWORDS_ISSR_208007774_136J">#REF!</definedName>
    <definedName name="A_ALL_SECTION_KEYWORDS_ISSR_208007774_13A">#REF!</definedName>
    <definedName name="A_ALL_SECTION_KEYWORDS_ISSR_208007774_13U">#REF!</definedName>
    <definedName name="A_ALL_SECTION_KEYWORDS_ISSR_208007774_13V">#REF!</definedName>
    <definedName name="A_ALL_SECTION_KEYWORDS_ISSR_208007774_Reference_Data">#REF!</definedName>
    <definedName name="A_ALL_SECTIONS_EQTY_200010048">#REF!,#REF!,#REF!,#REF!,#REF!,#REF!,#REF!,#REF!,#REF!</definedName>
    <definedName name="A_ALL_SECTIONS_ISSR_208007774">#REF!,#REF!,#REF!,#REF!,#REF!,#REF!,#REF!,#REF!,#REF!,#REF!,#REF!,#REF!,#REF!,#REF!,#REF!,#REF!,#REF!,#REF!,#REF!,#REF!,#REF!</definedName>
    <definedName name="A_CURRENCY_EQTY_200010048_PRI">#REF!</definedName>
    <definedName name="A_CURRENCY_EQTY_200010048_PUB">#REF!</definedName>
    <definedName name="A_CURRENCY_EQTY_200010048_REP">#REF!</definedName>
    <definedName name="A_CURRENCY_ISSR_208007774_REP">#REF!</definedName>
    <definedName name="A_KEYWORD_EQTY_200010048_AMER_CONVICTION">#REF!</definedName>
    <definedName name="A_KEYWORD_EQTY_200010048_AMER_LIST">#REF!</definedName>
    <definedName name="A_KEYWORD_EQTY_200010048_B_BS_L_GSEQUITY">#REF!</definedName>
    <definedName name="A_KEYWORD_EQTY_200010048_B_PL_GSBVPS">#REF!</definedName>
    <definedName name="A_KEYWORD_EQTY_200010048_B_PL_GSEPS">#REF!</definedName>
    <definedName name="A_KEYWORD_EQTY_200010048_B_PL_GSINCOME">#REF!</definedName>
    <definedName name="A_KEYWORD_EQTY_200010048_B_PL_PTASSOC">#REF!</definedName>
    <definedName name="A_KEYWORD_EQTY_200010048_BETA_ANALYST">#REF!</definedName>
    <definedName name="A_KEYWORD_EQTY_200010048_BVPS">#REF!</definedName>
    <definedName name="A_KEYWORD_EQTY_200010048_BVPS_PUB">#REF!</definedName>
    <definedName name="A_KEYWORD_EQTY_200010048_COE">#REF!</definedName>
    <definedName name="A_KEYWORD_EQTY_200010048_COMMON_DIV_PAID">#REF!</definedName>
    <definedName name="A_KEYWORD_EQTY_200010048_CURRENCY_ISO">#REF!</definedName>
    <definedName name="A_KEYWORD_EQTY_200010048_DILUTE_NI_IMPAC">#REF!</definedName>
    <definedName name="A_KEYWORD_EQTY_200010048_DILUTE_SHARES">#REF!</definedName>
    <definedName name="A_KEYWORD_EQTY_200010048_DPS">#REF!</definedName>
    <definedName name="A_KEYWORD_EQTY_200010048_DPS_PUB">#REF!</definedName>
    <definedName name="A_KEYWORD_EQTY_200010048_EBIT_PUB">#REF!</definedName>
    <definedName name="A_KEYWORD_EQTY_200010048_EBITDA_PUB">#REF!</definedName>
    <definedName name="A_KEYWORD_EQTY_200010048_EPS">#REF!</definedName>
    <definedName name="A_KEYWORD_EQTY_200010048_EPS_EX_ESO_B">#REF!</definedName>
    <definedName name="A_KEYWORD_EQTY_200010048_EPS_EX_ESO_D">#REF!</definedName>
    <definedName name="A_KEYWORD_EQTY_200010048_EPS_PUB">#REF!</definedName>
    <definedName name="A_KEYWORD_EQTY_200010048_EPS_PUB_EX_ESO">#REF!</definedName>
    <definedName name="A_KEYWORD_EQTY_200010048_EQ_PUB">#REF!</definedName>
    <definedName name="A_KEYWORD_EQTY_200010048_ESO_POST_TAX">#REF!</definedName>
    <definedName name="A_KEYWORD_EQTY_200010048_ESO_YEAR">#REF!</definedName>
    <definedName name="A_KEYWORD_EQTY_200010048_EV_ADJ_PUB">#REF!</definedName>
    <definedName name="A_KEYWORD_EQTY_200010048_FREE_FLOAT">#REF!</definedName>
    <definedName name="A_KEYWORD_EQTY_200010048_FULLY_DIL_EPS">#REF!</definedName>
    <definedName name="A_KEYWORD_EQTY_200010048_FV_GRANT">#REF!</definedName>
    <definedName name="A_KEYWORD_EQTY_200010048_INC_MINORITY">#REF!</definedName>
    <definedName name="A_KEYWORD_EQTY_200010048_Interim_Type">#REF!</definedName>
    <definedName name="A_KEYWORD_EQTY_200010048_LEGAL_RATING">#REF!</definedName>
    <definedName name="A_KEYWORD_EQTY_200010048_MARGIN_TAX_RATE">#REF!</definedName>
    <definedName name="A_KEYWORD_EQTY_200010048_MINOR_EQUITY">#REF!</definedName>
    <definedName name="A_KEYWORD_EQTY_200010048_MINOR_NON_EQUITY">#REF!</definedName>
    <definedName name="A_KEYWORD_EQTY_200010048_MKT_EQ_RISK_PREM">#REF!</definedName>
    <definedName name="A_KEYWORD_EQTY_200010048_NET_DEBT_PUB">#REF!</definedName>
    <definedName name="A_KEYWORD_EQTY_200010048_NET_EARNING">#REF!</definedName>
    <definedName name="A_KEYWORD_EQTY_200010048_NET_INC">#REF!</definedName>
    <definedName name="A_KEYWORD_EQTY_200010048_NI_PUB">#REF!</definedName>
    <definedName name="A_KEYWORD_EQTY_200010048_NON_OP_ADD">#REF!</definedName>
    <definedName name="A_KEYWORD_EQTY_200010048_NUM_SH">#REF!</definedName>
    <definedName name="A_KEYWORD_EQTY_200010048_PRICE_CURRENCY_ISO">#REF!</definedName>
    <definedName name="A_KEYWORD_EQTY_200010048_PROF_AT">#REF!</definedName>
    <definedName name="A_KEYWORD_EQTY_200010048_PROV_INC_TAX">#REF!</definedName>
    <definedName name="A_KEYWORD_EQTY_200010048_PTP_PUB">#REF!</definedName>
    <definedName name="A_KEYWORD_EQTY_200010048_PUB_CURRENCY_ISO">#REF!</definedName>
    <definedName name="A_KEYWORD_EQTY_200010048_REPUR_ACTUAL">#REF!</definedName>
    <definedName name="A_KEYWORD_EQTY_200010048_REPUR_REMAINING">#REF!</definedName>
    <definedName name="A_KEYWORD_EQTY_200010048_REPUR_SUSPENDED">#REF!</definedName>
    <definedName name="A_KEYWORD_EQTY_200010048_REPUR_TOT_AUTH">#REF!</definedName>
    <definedName name="A_KEYWORD_EQTY_200010048_REVS_PUB">#REF!</definedName>
    <definedName name="A_KEYWORD_EQTY_200010048_RISK_FR_RATE">#REF!</definedName>
    <definedName name="A_KEYWORD_EQTY_200010048_Security_Name">#REF!</definedName>
    <definedName name="A_KEYWORD_EQTY_200010048_SH">#REF!</definedName>
    <definedName name="A_KEYWORD_EQTY_200010048_TANG_BVPS">#REF!</definedName>
    <definedName name="A_KEYWORD_EQTY_200010048_TARGET_PRICE">#REF!</definedName>
    <definedName name="A_KEYWORD_EQTY_200010048_TAX_EXC">#REF!</definedName>
    <definedName name="A_KEYWORD_EQTY_200010048_TBVPS_LAST">#REF!</definedName>
    <definedName name="A_KEYWORD_EQTY_200010048_Ticker">#REF!</definedName>
    <definedName name="A_KEYWORD_EQTY_200010048_TP_PERIOD">#REF!</definedName>
    <definedName name="A_KEYWORD_ISSR_208007774_ACC_END_DATE">#REF!</definedName>
    <definedName name="A_KEYWORD_ISSR_208007774_ACCRUAL">#REF!</definedName>
    <definedName name="A_KEYWORD_ISSR_208007774_ASIA_ASS">#REF!</definedName>
    <definedName name="A_KEYWORD_ISSR_208007774_ASIA_OP">#REF!</definedName>
    <definedName name="A_KEYWORD_ISSR_208007774_ASIA_SALES">#REF!</definedName>
    <definedName name="A_KEYWORD_ISSR_208007774_ASSOCIATE">#REF!</definedName>
    <definedName name="A_KEYWORD_ISSR_208007774_B_ALLOW_LL_PE">#REF!</definedName>
    <definedName name="A_KEYWORD_ISSR_208007774_B_BS_A_DEBTTOT">#REF!</definedName>
    <definedName name="A_KEYWORD_ISSR_208007774_B_BS_A_LNBNK">#REF!</definedName>
    <definedName name="A_KEYWORD_ISSR_208007774_B_BS_A_NETLOANS">#REF!</definedName>
    <definedName name="A_KEYWORD_ISSR_208007774_B_BS_A_OTHINT1">#REF!</definedName>
    <definedName name="A_KEYWORD_ISSR_208007774_B_BS_A_PERIOD">#REF!</definedName>
    <definedName name="A_KEYWORD_ISSR_208007774_B_BS_L_BANKDEP">#REF!</definedName>
    <definedName name="A_KEYWORD_ISSR_208007774_B_BS_L_CUSTDEP">#REF!</definedName>
    <definedName name="A_KEYWORD_ISSR_208007774_B_BS_L_GSTANGEQ">#REF!</definedName>
    <definedName name="A_KEYWORD_ISSR_208007774_B_BS_L_PERIOD">#REF!</definedName>
    <definedName name="A_KEYWORD_ISSR_208007774_B_CA_BISRATIO">#REF!</definedName>
    <definedName name="A_KEYWORD_ISSR_208007774_B_CA_CAPBASE">#REF!</definedName>
    <definedName name="A_KEYWORD_ISSR_208007774_B_CA_PREFCAP">#REF!</definedName>
    <definedName name="A_KEYWORD_ISSR_208007774_B_CA_RWA">#REF!</definedName>
    <definedName name="A_KEYWORD_ISSR_208007774_B_CA_T1CAP">#REF!</definedName>
    <definedName name="A_KEYWORD_ISSR_208007774_B_CA_T1RATIO">#REF!</definedName>
    <definedName name="A_KEYWORD_ISSR_208007774_B_CA_T2CAP">#REF!</definedName>
    <definedName name="A_KEYWORD_ISSR_208007774_B_CA_T2RATIO">#REF!</definedName>
    <definedName name="A_KEYWORD_ISSR_208007774_B_DE_DEMAND">#REF!</definedName>
    <definedName name="A_KEYWORD_ISSR_208007774_B_DE_OTHERS">#REF!</definedName>
    <definedName name="A_KEYWORD_ISSR_208007774_B_DE_TIME">#REF!</definedName>
    <definedName name="A_KEYWORD_ISSR_208007774_B_DE_TOTDEPOSIT">#REF!</definedName>
    <definedName name="A_KEYWORD_ISSR_208007774_B_GAIN_SALE_SEC">#REF!</definedName>
    <definedName name="A_KEYWORD_ISSR_208007774_B_IH_BKVALUE">#REF!</definedName>
    <definedName name="A_KEYWORD_ISSR_208007774_B_IH_MKTVALUE">#REF!</definedName>
    <definedName name="A_KEYWORD_ISSR_208007774_B_IH_PTAXVALUE">#REF!</definedName>
    <definedName name="A_KEYWORD_ISSR_208007774_B_IH_TAX">#REF!</definedName>
    <definedName name="A_KEYWORD_ISSR_208007774_B_IH_UNREALISE">#REF!</definedName>
    <definedName name="A_KEYWORD_ISSR_208007774_B_LB_COMMCL">#REF!</definedName>
    <definedName name="A_KEYWORD_ISSR_208007774_B_LB_CONSTRUCT">#REF!</definedName>
    <definedName name="A_KEYWORD_ISSR_208007774_B_LB_FINANCL">#REF!</definedName>
    <definedName name="A_KEYWORD_ISSR_208007774_B_LB_FINLEASE">#REF!</definedName>
    <definedName name="A_KEYWORD_ISSR_208007774_B_LB_GOVERNMT">#REF!</definedName>
    <definedName name="A_KEYWORD_ISSR_208007774_B_LB_GROSSLOANS">#REF!</definedName>
    <definedName name="A_KEYWORD_ISSR_208007774_B_LB_MORTG">#REF!</definedName>
    <definedName name="A_KEYWORD_ISSR_208007774_B_LB_OTHER">#REF!</definedName>
    <definedName name="A_KEYWORD_ISSR_208007774_B_LB_OTHLEND">#REF!</definedName>
    <definedName name="A_KEYWORD_ISSR_208007774_B_LB_OTHSECURE">#REF!</definedName>
    <definedName name="A_KEYWORD_ISSR_208007774_B_LB_OVSEASLEND">#REF!</definedName>
    <definedName name="A_KEYWORD_ISSR_208007774_B_LB_PERSON">#REF!</definedName>
    <definedName name="A_KEYWORD_ISSR_208007774_B_LB_TOTCORP">#REF!</definedName>
    <definedName name="A_KEYWORD_ISSR_208007774_B_LB_TOTPERSNL">#REF!</definedName>
    <definedName name="A_KEYWORD_ISSR_208007774_B_MA_REPCOSTLIB">#REF!</definedName>
    <definedName name="A_KEYWORD_ISSR_208007774_B_MA_REPGYLD">#REF!</definedName>
    <definedName name="A_KEYWORD_ISSR_208007774_B_MA_REPIMPSPD">#REF!</definedName>
    <definedName name="A_KEYWORD_ISSR_208007774_B_MA_REPINTAST">#REF!</definedName>
    <definedName name="A_KEYWORD_ISSR_208007774_B_MA_REPINTLIB">#REF!</definedName>
    <definedName name="A_KEYWORD_ISSR_208007774_B_MA_REPNIM">#REF!</definedName>
    <definedName name="A_KEYWORD_ISSR_208007774_B_NON_INT_B_DEP">#REF!</definedName>
    <definedName name="A_KEYWORD_ISSR_208007774_B_NONP_L_PE">#REF!</definedName>
    <definedName name="A_KEYWORD_ISSR_208007774_B_NPL_PROBLN">#REF!</definedName>
    <definedName name="A_KEYWORD_ISSR_208007774_B_NPL_TOTNPL">#REF!</definedName>
    <definedName name="A_KEYWORD_ISSR_208007774_B_PL_LOANPRV">#REF!</definedName>
    <definedName name="A_KEYWORD_ISSR_208007774_B_PL_NETINTINC">#REF!</definedName>
    <definedName name="A_KEYWORD_ISSR_208007774_B_PV_GLLRCUST">#REF!</definedName>
    <definedName name="A_KEYWORD_ISSR_208007774_B_PV_SLLRCUST">#REF!</definedName>
    <definedName name="A_KEYWORD_ISSR_208007774_B_PV_TOTLLRCUST">#REF!</definedName>
    <definedName name="A_KEYWORD_ISSR_208007774_B_TOT_ASS_PE">#REF!</definedName>
    <definedName name="A_KEYWORD_ISSR_208007774_B_TOT_LOAN_NET_ALLOW_PE">#REF!</definedName>
    <definedName name="A_KEYWORD_ISSR_208007774_B_TOT_LOAN_PE">#REF!</definedName>
    <definedName name="A_KEYWORD_ISSR_208007774_B_TOT_SH_EQ_PE">#REF!</definedName>
    <definedName name="A_KEYWORD_ISSR_208007774_BAL_MINO_INT">#REF!</definedName>
    <definedName name="A_KEYWORD_ISSR_208007774_BRANCHES">#REF!</definedName>
    <definedName name="A_KEYWORD_ISSR_208007774_CAP_LEASES">#REF!</definedName>
    <definedName name="A_KEYWORD_ISSR_208007774_CASH_EQ">#REF!</definedName>
    <definedName name="A_KEYWORD_ISSR_208007774_CASH_PCT_OS_US">#REF!</definedName>
    <definedName name="A_KEYWORD_ISSR_208007774_COMMITMENTS">#REF!</definedName>
    <definedName name="A_KEYWORD_ISSR_208007774_CONTINGENCIES">#REF!</definedName>
    <definedName name="A_KEYWORD_ISSR_208007774_CURRENCY_ISO">#REF!</definedName>
    <definedName name="A_KEYWORD_ISSR_208007774_DEBT_SECUR">#REF!</definedName>
    <definedName name="A_KEYWORD_ISSR_208007774_DEPREC">#REF!</definedName>
    <definedName name="A_KEYWORD_ISSR_208007774_DIV_PAID">#REF!</definedName>
    <definedName name="A_KEYWORD_ISSR_208007774_DIVID_INC">#REF!</definedName>
    <definedName name="A_KEYWORD_ISSR_208007774_DOM_ASS">#REF!</definedName>
    <definedName name="A_KEYWORD_ISSR_208007774_DOM_OP">#REF!</definedName>
    <definedName name="A_KEYWORD_ISSR_208007774_DOM_SALES">#REF!</definedName>
    <definedName name="A_KEYWORD_ISSR_208007774_EBIT_FIN_SEGMENT">#REF!</definedName>
    <definedName name="A_KEYWORD_ISSR_208007774_EMER_ASS">#REF!</definedName>
    <definedName name="A_KEYWORD_ISSR_208007774_EMER_OP">#REF!</definedName>
    <definedName name="A_KEYWORD_ISSR_208007774_EMER_SALES">#REF!</definedName>
    <definedName name="A_KEYWORD_ISSR_208007774_EMPLOYEES">#REF!</definedName>
    <definedName name="A_KEYWORD_ISSR_208007774_EQ">#REF!</definedName>
    <definedName name="A_KEYWORD_ISSR_208007774_ESO_PRE_TAX">#REF!</definedName>
    <definedName name="A_KEYWORD_ISSR_208007774_EUR_ASS">#REF!</definedName>
    <definedName name="A_KEYWORD_ISSR_208007774_EURO_OP">#REF!</definedName>
    <definedName name="A_KEYWORD_ISSR_208007774_EURO_SALES">#REF!</definedName>
    <definedName name="A_KEYWORD_ISSR_208007774_FIN_TRANS_INC">#REF!</definedName>
    <definedName name="A_KEYWORD_ISSR_208007774_FIX_ASS_INV">#REF!</definedName>
    <definedName name="A_KEYWORD_ISSR_208007774_GEN_INS_INC">#REF!</definedName>
    <definedName name="A_KEYWORD_ISSR_208007774_GOODWILL">#REF!</definedName>
    <definedName name="A_KEYWORD_ISSR_208007774_GOODWILL_AMORT">#REF!</definedName>
    <definedName name="A_KEYWORD_ISSR_208007774_GROSS_OP_PROF">#REF!</definedName>
    <definedName name="A_KEYWORD_ISSR_208007774_INS_CLAIMS">#REF!</definedName>
    <definedName name="A_KEYWORD_ISSR_208007774_INT_EXP">#REF!</definedName>
    <definedName name="A_KEYWORD_ISSR_208007774_INT_INC">#REF!</definedName>
    <definedName name="A_KEYWORD_ISSR_208007774_INV_SECUR">#REF!</definedName>
    <definedName name="A_KEYWORD_ISSR_208007774_Issuer_Name">#REF!</definedName>
    <definedName name="A_KEYWORD_ISSR_208007774_LATAM_ASS">#REF!</definedName>
    <definedName name="A_KEYWORD_ISSR_208007774_LATAM_OP">#REF!</definedName>
    <definedName name="A_KEYWORD_ISSR_208007774_LATAM_SALES">#REF!</definedName>
    <definedName name="A_KEYWORD_ISSR_208007774_LEASE_PAY">#REF!</definedName>
    <definedName name="A_KEYWORD_ISSR_208007774_LIFE_INC">#REF!</definedName>
    <definedName name="A_KEYWORD_ISSR_208007774_LIFE_POLICY_ASS">#REF!</definedName>
    <definedName name="A_KEYWORD_ISSR_208007774_LIFE_POLICY_LIABS">#REF!</definedName>
    <definedName name="A_KEYWORD_ISSR_208007774_LIFE_SHARE">#REF!</definedName>
    <definedName name="A_KEYWORD_ISSR_208007774_MA_PROB">#REF!</definedName>
    <definedName name="A_KEYWORD_ISSR_208007774_MINOR_EQUITY_BS">#REF!</definedName>
    <definedName name="A_KEYWORD_ISSR_208007774_MINORITIES">#REF!</definedName>
    <definedName name="A_KEYWORD_ISSR_208007774_MV_ASSOCIATES">#REF!</definedName>
    <definedName name="A_KEYWORD_ISSR_208007774_NAM_ASS">#REF!</definedName>
    <definedName name="A_KEYWORD_ISSR_208007774_NAM_OP">#REF!</definedName>
    <definedName name="A_KEYWORD_ISSR_208007774_NAM_SALES">#REF!</definedName>
    <definedName name="A_KEYWORD_ISSR_208007774_NET_FEE">#REF!</definedName>
    <definedName name="A_KEYWORD_ISSR_208007774_NET_FIX_ASS">#REF!</definedName>
    <definedName name="A_KEYWORD_ISSR_208007774_NET_INTANG">#REF!</definedName>
    <definedName name="A_KEYWORD_ISSR_208007774_NET_OP_PROF">#REF!</definedName>
    <definedName name="A_KEYWORD_ISSR_208007774_NETCHGOFF_BS">#REF!</definedName>
    <definedName name="A_KEYWORD_ISSR_208007774_NON_INT_INC">#REF!</definedName>
    <definedName name="A_KEYWORD_ISSR_208007774_OP_COST">#REF!</definedName>
    <definedName name="A_KEYWORD_ISSR_208007774_ORD_SH_FUND">#REF!</definedName>
    <definedName name="A_KEYWORD_ISSR_208007774_OTH_ADMIN">#REF!</definedName>
    <definedName name="A_KEYWORD_ISSR_208007774_OTH_ASS">#REF!</definedName>
    <definedName name="A_KEYWORD_ISSR_208007774_OTH_ASSET">#REF!</definedName>
    <definedName name="A_KEYWORD_ISSR_208007774_OTH_COST">#REF!</definedName>
    <definedName name="A_KEYWORD_ISSR_208007774_OTH_COST_INC">#REF!</definedName>
    <definedName name="A_KEYWORD_ISSR_208007774_OTH_DACF_ADJ">#REF!</definedName>
    <definedName name="A_KEYWORD_ISSR_208007774_OTH_GCI_ADJ">#REF!</definedName>
    <definedName name="A_KEYWORD_ISSR_208007774_OTH_INC">#REF!</definedName>
    <definedName name="A_KEYWORD_ISSR_208007774_OTH_INTANG">#REF!</definedName>
    <definedName name="A_KEYWORD_ISSR_208007774_OTH_LIABS">#REF!</definedName>
    <definedName name="A_KEYWORD_ISSR_208007774_OTH_NONOP_EXP">#REF!</definedName>
    <definedName name="A_KEYWORD_ISSR_208007774_OTH_NONOP_INC">#REF!</definedName>
    <definedName name="A_KEYWORD_ISSR_208007774_OTH_OP">#REF!</definedName>
    <definedName name="A_KEYWORD_ISSR_208007774_OTH_PAY_LIABS">#REF!</definedName>
    <definedName name="A_KEYWORD_ISSR_208007774_OTH_PROVS">#REF!</definedName>
    <definedName name="A_KEYWORD_ISSR_208007774_OTH_SALES">#REF!</definedName>
    <definedName name="A_KEYWORD_ISSR_208007774_PCT_ASIA_ASS">#REF!</definedName>
    <definedName name="A_KEYWORD_ISSR_208007774_PCT_ASIA_OP">#REF!</definedName>
    <definedName name="A_KEYWORD_ISSR_208007774_PCT_ASIA_SALES">#REF!</definedName>
    <definedName name="A_KEYWORD_ISSR_208007774_PCT_DOM_ASS">#REF!</definedName>
    <definedName name="A_KEYWORD_ISSR_208007774_PCT_DOM_OP">#REF!</definedName>
    <definedName name="A_KEYWORD_ISSR_208007774_PCT_DOM_SALES">#REF!</definedName>
    <definedName name="A_KEYWORD_ISSR_208007774_PCT_EMER_ASS">#REF!</definedName>
    <definedName name="A_KEYWORD_ISSR_208007774_PCT_EMER_OP">#REF!</definedName>
    <definedName name="A_KEYWORD_ISSR_208007774_PCT_EMER_SALES">#REF!</definedName>
    <definedName name="A_KEYWORD_ISSR_208007774_PCT_EURO_ASS">#REF!</definedName>
    <definedName name="A_KEYWORD_ISSR_208007774_PCT_EURO_OP">#REF!</definedName>
    <definedName name="A_KEYWORD_ISSR_208007774_PCT_EURO_SALES">#REF!</definedName>
    <definedName name="A_KEYWORD_ISSR_208007774_PCT_LATAM_ASS">#REF!</definedName>
    <definedName name="A_KEYWORD_ISSR_208007774_PCT_LATAM_OP">#REF!</definedName>
    <definedName name="A_KEYWORD_ISSR_208007774_PCT_LATAM_SALES">#REF!</definedName>
    <definedName name="A_KEYWORD_ISSR_208007774_PCT_NAM_ASS">#REF!</definedName>
    <definedName name="A_KEYWORD_ISSR_208007774_PCT_NAM_OP">#REF!</definedName>
    <definedName name="A_KEYWORD_ISSR_208007774_PCT_NAM_SALES">#REF!</definedName>
    <definedName name="A_KEYWORD_ISSR_208007774_PCT_OTH_ASS">#REF!</definedName>
    <definedName name="A_KEYWORD_ISSR_208007774_PCT_OTH_OP">#REF!</definedName>
    <definedName name="A_KEYWORD_ISSR_208007774_PCT_OTH_SALES">#REF!</definedName>
    <definedName name="A_KEYWORD_ISSR_208007774_PERIOD_MILESTONE">#REF!</definedName>
    <definedName name="A_KEYWORD_ISSR_208007774_PERSONNEL">#REF!</definedName>
    <definedName name="A_KEYWORD_ISSR_208007774_PRE_PAYMNTS">#REF!</definedName>
    <definedName name="A_KEYWORD_ISSR_208007774_PREF_SHARE_CAP">#REF!</definedName>
    <definedName name="A_KEYWORD_ISSR_208007774_PROF_BTE">#REF!</definedName>
    <definedName name="A_KEYWORD_ISSR_208007774_PROFIT_ON_DISP">#REF!</definedName>
    <definedName name="A_KEYWORD_ISSR_208007774_PROV_BS">#REF!</definedName>
    <definedName name="A_KEYWORD_ISSR_208007774_PT_PROF">#REF!</definedName>
    <definedName name="A_KEYWORD_ISSR_208007774_RECOVERIES_BS">#REF!</definedName>
    <definedName name="A_KEYWORD_ISSR_208007774_REV_FIN_SEGMENT">#REF!</definedName>
    <definedName name="A_KEYWORD_ISSR_208007774_SALES">#REF!</definedName>
    <definedName name="A_KEYWORD_ISSR_208007774_SALES_ARGENTINA">#REF!</definedName>
    <definedName name="A_KEYWORD_ISSR_208007774_SALES_BRAZIL">#REF!</definedName>
    <definedName name="A_KEYWORD_ISSR_208007774_SALES_CANADA">#REF!</definedName>
    <definedName name="A_KEYWORD_ISSR_208007774_SALES_CEE">#REF!</definedName>
    <definedName name="A_KEYWORD_ISSR_208007774_SALES_CHILE">#REF!</definedName>
    <definedName name="A_KEYWORD_ISSR_208007774_SALES_CHINA">#REF!</definedName>
    <definedName name="A_KEYWORD_ISSR_208007774_SALES_COLOMBIA">#REF!</definedName>
    <definedName name="A_KEYWORD_ISSR_208007774_SALES_CONS">#REF!</definedName>
    <definedName name="A_KEYWORD_ISSR_208007774_SALES_EU_EX_UK">#REF!</definedName>
    <definedName name="A_KEYWORD_ISSR_208007774_SALES_FINAN">#REF!</definedName>
    <definedName name="A_KEYWORD_ISSR_208007774_SALES_FX_ARS">#REF!</definedName>
    <definedName name="A_KEYWORD_ISSR_208007774_SALES_FX_BRL">#REF!</definedName>
    <definedName name="A_KEYWORD_ISSR_208007774_SALES_FX_CAD">#REF!</definedName>
    <definedName name="A_KEYWORD_ISSR_208007774_SALES_FX_CLP">#REF!</definedName>
    <definedName name="A_KEYWORD_ISSR_208007774_SALES_FX_CNY">#REF!</definedName>
    <definedName name="A_KEYWORD_ISSR_208007774_SALES_FX_COP">#REF!</definedName>
    <definedName name="A_KEYWORD_ISSR_208007774_SALES_FX_EUR">#REF!</definedName>
    <definedName name="A_KEYWORD_ISSR_208007774_SALES_FX_GPB">#REF!</definedName>
    <definedName name="A_KEYWORD_ISSR_208007774_SALES_FX_INR">#REF!</definedName>
    <definedName name="A_KEYWORD_ISSR_208007774_SALES_FX_MXN">#REF!</definedName>
    <definedName name="A_KEYWORD_ISSR_208007774_SALES_FX_OTH">#REF!</definedName>
    <definedName name="A_KEYWORD_ISSR_208007774_SALES_FX_RUB">#REF!</definedName>
    <definedName name="A_KEYWORD_ISSR_208007774_SALES_FX_USD">#REF!</definedName>
    <definedName name="A_KEYWORD_ISSR_208007774_SALES_FX_VEF">#REF!</definedName>
    <definedName name="A_KEYWORD_ISSR_208007774_SALES_FX_YEN">#REF!</definedName>
    <definedName name="A_KEYWORD_ISSR_208007774_SALES_GOV">#REF!</definedName>
    <definedName name="A_KEYWORD_ISSR_208007774_SALES_IND">#REF!</definedName>
    <definedName name="A_KEYWORD_ISSR_208007774_SALES_INDIA">#REF!</definedName>
    <definedName name="A_KEYWORD_ISSR_208007774_SALES_JAPAN">#REF!</definedName>
    <definedName name="A_KEYWORD_ISSR_208007774_SALES_ME">#REF!</definedName>
    <definedName name="A_KEYWORD_ISSR_208007774_SALES_MEXICO">#REF!</definedName>
    <definedName name="A_KEYWORD_ISSR_208007774_SALES_OTH_AEJ">#REF!</definedName>
    <definedName name="A_KEYWORD_ISSR_208007774_SALES_OTH_AM">#REF!</definedName>
    <definedName name="A_KEYWORD_ISSR_208007774_SALES_OTH_EMEA">#REF!</definedName>
    <definedName name="A_KEYWORD_ISSR_208007774_SALES_OTHER">#REF!</definedName>
    <definedName name="A_KEYWORD_ISSR_208007774_SALES_RUSSIA">#REF!</definedName>
    <definedName name="A_KEYWORD_ISSR_208007774_SALES_SMB">#REF!</definedName>
    <definedName name="A_KEYWORD_ISSR_208007774_SALES_TOT_AFRICA">#REF!</definedName>
    <definedName name="A_KEYWORD_ISSR_208007774_SALES_TOT_AM">#REF!</definedName>
    <definedName name="A_KEYWORD_ISSR_208007774_SALES_TOT_ASIA">#REF!</definedName>
    <definedName name="A_KEYWORD_ISSR_208007774_SALES_TOT_EMEA">#REF!</definedName>
    <definedName name="A_KEYWORD_ISSR_208007774_SALES_UK">#REF!</definedName>
    <definedName name="A_KEYWORD_ISSR_208007774_SALES_US">#REF!</definedName>
    <definedName name="A_KEYWORD_ISSR_208007774_SALES_VENEZUELA">#REF!</definedName>
    <definedName name="A_KEYWORD_ISSR_208007774_SUB_ORD_LIABS">#REF!</definedName>
    <definedName name="A_KEYWORD_ISSR_208007774_TOT_ASS">#REF!</definedName>
    <definedName name="A_KEYWORD_ISSR_208007774_TOT_ASSET">#REF!</definedName>
    <definedName name="A_KEYWORD_ISSR_208007774_TOT_EXCEPTS">#REF!</definedName>
    <definedName name="A_KEYWORD_ISSR_208007774_TOT_LIAB">#REF!</definedName>
    <definedName name="A_KEYWORD_ISSR_208007774_TOT_LIAB_EQ">#REF!</definedName>
    <definedName name="A_KEYWORD_ISSR_208007774_TOT_OP">#REF!</definedName>
    <definedName name="A_KEYWORD_ISSR_208007774_TOT_PROVS">#REF!</definedName>
    <definedName name="A_KEYWORD_ISSR_208007774_TOT_SALES">#REF!</definedName>
    <definedName name="A_KEYWORD_ISSR_208007774_UNF_PENS">#REF!</definedName>
    <definedName name="A_KEYWORD_ISSR_208007774_UNF_PENS_LIAB_OTH">#REF!</definedName>
    <definedName name="A_KEYWORD_ISSR_208007774_UNF_PENS_OFF">#REF!</definedName>
    <definedName name="A_KEYWORD_ISSR_208007774_WRITE_OFFS_BS">#REF!</definedName>
    <definedName name="A_KEYWORD_ISSR_208007774_WTD_AVG_ASSET">#REF!</definedName>
    <definedName name="A_KEYWORD_ISSR_208007774_WTD_AVG_EQ">#REF!</definedName>
    <definedName name="A_LIVEDATA_EQTY_200010048">#REF!</definedName>
    <definedName name="A_LIVEDATA_ISSR_208007774">#REF!</definedName>
    <definedName name="A_PERIOD_1998">#REF!</definedName>
    <definedName name="A_PERIOD_1999">#REF!</definedName>
    <definedName name="A_PERIOD_2000">#REF!</definedName>
    <definedName name="A_PERIOD_2001">#REF!</definedName>
    <definedName name="A_PERIOD_2002">#REF!</definedName>
    <definedName name="A_PERIOD_2003">#REF!</definedName>
    <definedName name="A_PERIOD_2004">#REF!</definedName>
    <definedName name="A_PERIOD_2004_Q1">#REF!</definedName>
    <definedName name="A_PERIOD_2004_Q2">#REF!</definedName>
    <definedName name="A_PERIOD_2004_Q3">#REF!</definedName>
    <definedName name="A_PERIOD_2004_Q4">#REF!</definedName>
    <definedName name="A_PERIOD_2005">#REF!</definedName>
    <definedName name="A_PERIOD_2005_Q1">#REF!</definedName>
    <definedName name="A_PERIOD_2005_Q2">#REF!</definedName>
    <definedName name="A_PERIOD_2005_Q3">#REF!</definedName>
    <definedName name="A_PERIOD_2005_Q4">#REF!</definedName>
    <definedName name="A_PERIOD_2006">#REF!</definedName>
    <definedName name="A_PERIOD_2006_Q1">#REF!</definedName>
    <definedName name="A_PERIOD_2006_Q2">#REF!</definedName>
    <definedName name="A_PERIOD_2006_Q3">#REF!</definedName>
    <definedName name="A_PERIOD_2006_Q4">#REF!</definedName>
    <definedName name="A_PERIOD_2007">#REF!</definedName>
    <definedName name="A_PERIOD_2007_Q1">#REF!</definedName>
    <definedName name="A_PERIOD_2007_Q2">#REF!</definedName>
    <definedName name="A_PERIOD_2007_Q3">#REF!</definedName>
    <definedName name="A_PERIOD_2007_Q4">#REF!</definedName>
    <definedName name="A_PERIOD_2008">#REF!</definedName>
    <definedName name="A_PERIOD_2008_Q1">#REF!</definedName>
    <definedName name="A_PERIOD_2008_Q2">#REF!</definedName>
    <definedName name="A_PERIOD_2008_Q3">#REF!</definedName>
    <definedName name="A_PERIOD_2008_Q4">#REF!</definedName>
    <definedName name="A_PERIOD_2009">#REF!</definedName>
    <definedName name="A_PERIOD_2009_Q1">#REF!</definedName>
    <definedName name="A_PERIOD_2009_Q2">#REF!</definedName>
    <definedName name="A_PERIOD_2009_Q3">#REF!</definedName>
    <definedName name="A_PERIOD_2009_Q4">#REF!</definedName>
    <definedName name="A_PERIOD_2010">#REF!</definedName>
    <definedName name="A_PERIOD_2010_Q1">#REF!</definedName>
    <definedName name="A_PERIOD_2010_Q2">#REF!</definedName>
    <definedName name="A_PERIOD_2010_Q3">#REF!</definedName>
    <definedName name="A_PERIOD_2010_Q4">#REF!</definedName>
    <definedName name="A_PERIOD_2011">#REF!</definedName>
    <definedName name="A_PERIOD_2011_Q1">#REF!</definedName>
    <definedName name="A_PERIOD_2011_Q2">#REF!</definedName>
    <definedName name="A_PERIOD_2011_Q3">#REF!</definedName>
    <definedName name="A_PERIOD_2011_Q4">#REF!</definedName>
    <definedName name="A_PERIOD_2012">#REF!</definedName>
    <definedName name="A_PERIOD_2012_Q1">#REF!</definedName>
    <definedName name="A_PERIOD_2012_Q2">#REF!</definedName>
    <definedName name="A_PERIOD_2012_Q3">#REF!</definedName>
    <definedName name="A_PERIOD_2012_Q4">#REF!</definedName>
    <definedName name="A_PERIOD_2013">#REF!</definedName>
    <definedName name="A_PERIOD_2013_Q1">#REF!</definedName>
    <definedName name="A_PERIOD_2013_Q2">#REF!</definedName>
    <definedName name="A_PERIOD_2013_Q3">#REF!</definedName>
    <definedName name="A_PERIOD_2013_Q4">#REF!</definedName>
    <definedName name="A_PERIOD_2014">#REF!</definedName>
    <definedName name="A_PERIOD_2014_Q1">#REF!</definedName>
    <definedName name="A_PERIOD_2014_Q2">#REF!</definedName>
    <definedName name="A_PERIOD_2014_Q3">#REF!</definedName>
    <definedName name="A_PERIOD_2014_Q4">#REF!</definedName>
    <definedName name="A_PERIOD_2015">#REF!</definedName>
    <definedName name="A_PERIOD_2016">#REF!</definedName>
    <definedName name="A_PERIOD_2017">#REF!</definedName>
    <definedName name="A_PERIOD_2018">#REF!</definedName>
    <definedName name="A_SECTION_EQTY_200010048_1314">#REF!</definedName>
    <definedName name="A_SECTION_EQTY_200010048_1319">#REF!</definedName>
    <definedName name="A_SECTION_EQTY_200010048_131O">#REF!</definedName>
    <definedName name="A_SECTION_EQTY_200010048_13A">#REF!</definedName>
    <definedName name="A_SECTION_EQTY_200010048_13K">#REF!</definedName>
    <definedName name="A_SECTION_EQTY_200010048_13U">#REF!</definedName>
    <definedName name="A_SECTION_EQTY_200010048_13V">#REF!</definedName>
    <definedName name="A_SECTION_EQTY_200010048_13W">#REF!</definedName>
    <definedName name="A_SECTION_EQTY_200010048_Reference_Data">#REF!</definedName>
    <definedName name="A_SECTION_ISSR_208007774_1314">#REF!</definedName>
    <definedName name="A_SECTION_ISSR_208007774_13168">#REF!</definedName>
    <definedName name="A_SECTION_ISSR_208007774_1316U">#REF!</definedName>
    <definedName name="A_SECTION_ISSR_208007774_1319">#REF!</definedName>
    <definedName name="A_SECTION_ISSR_208007774_131E">#REF!</definedName>
    <definedName name="A_SECTION_ISSR_208007774_131J">#REF!</definedName>
    <definedName name="A_SECTION_ISSR_208007774_131O">#REF!</definedName>
    <definedName name="A_SECTION_ISSR_208007774_133M">#REF!</definedName>
    <definedName name="A_SECTION_ISSR_208007774_133R">#REF!</definedName>
    <definedName name="A_SECTION_ISSR_208007774_133W">#REF!</definedName>
    <definedName name="A_SECTION_ISSR_208007774_1341">#REF!</definedName>
    <definedName name="A_SECTION_ISSR_208007774_1346">#REF!</definedName>
    <definedName name="A_SECTION_ISSR_208007774_134B">#REF!</definedName>
    <definedName name="A_SECTION_ISSR_208007774_134G">#REF!</definedName>
    <definedName name="A_SECTION_ISSR_208007774_134L">#REF!</definedName>
    <definedName name="A_SECTION_ISSR_208007774_134Q">#REF!</definedName>
    <definedName name="A_SECTION_ISSR_208007774_134V">#REF!</definedName>
    <definedName name="A_SECTION_ISSR_208007774_13A">#REF!</definedName>
    <definedName name="A_SECTION_ISSR_208007774_13U">#REF!</definedName>
    <definedName name="A_SECTION_ISSR_208007774_13V">#REF!</definedName>
    <definedName name="A_SECTION_ISSR_208007774_Reference_Data">#REF!</definedName>
    <definedName name="aa" localSheetId="3" hidden="1">{"mgmt forecast",#N/A,FALSE,"Mgmt Forecast";"dcf table",#N/A,FALSE,"Mgmt Forecast";"sensitivity",#N/A,FALSE,"Mgmt Forecast";"table inputs",#N/A,FALSE,"Mgmt Forecast";"calculations",#N/A,FALSE,"Mgmt Forecast"}</definedName>
    <definedName name="aa" localSheetId="2" hidden="1">{"mgmt forecast",#N/A,FALSE,"Mgmt Forecast";"dcf table",#N/A,FALSE,"Mgmt Forecast";"sensitivity",#N/A,FALSE,"Mgmt Forecast";"table inputs",#N/A,FALSE,"Mgmt Forecast";"calculations",#N/A,FALSE,"Mgmt Forecast"}</definedName>
    <definedName name="aa" localSheetId="6" hidden="1">{"mgmt forecast",#N/A,FALSE,"Mgmt Forecast";"dcf table",#N/A,FALSE,"Mgmt Forecast";"sensitivity",#N/A,FALSE,"Mgmt Forecast";"table inputs",#N/A,FALSE,"Mgmt Forecast";"calculations",#N/A,FALSE,"Mgmt Forecast"}</definedName>
    <definedName name="aa" localSheetId="5" hidden="1">{"mgmt forecast",#N/A,FALSE,"Mgmt Forecast";"dcf table",#N/A,FALSE,"Mgmt Forecast";"sensitivity",#N/A,FALSE,"Mgmt Forecast";"table inputs",#N/A,FALSE,"Mgmt Forecast";"calculations",#N/A,FALSE,"Mgmt Forecast"}</definedName>
    <definedName name="aa" localSheetId="1" hidden="1">{"mgmt forecast",#N/A,FALSE,"Mgmt Forecast";"dcf table",#N/A,FALSE,"Mgmt Forecast";"sensitivity",#N/A,FALSE,"Mgmt Forecast";"table inputs",#N/A,FALSE,"Mgmt Forecast";"calculations",#N/A,FALSE,"Mgmt Forecast"}</definedName>
    <definedName name="aa" localSheetId="4" hidden="1">{"mgmt forecast",#N/A,FALSE,"Mgmt Forecast";"dcf table",#N/A,FALSE,"Mgmt Forecast";"sensitivity",#N/A,FALSE,"Mgmt Forecast";"table inputs",#N/A,FALSE,"Mgmt Forecast";"calculations",#N/A,FALSE,"Mgmt Forecast"}</definedName>
    <definedName name="aa" hidden="1">{"mgmt forecast",#N/A,FALSE,"Mgmt Forecast";"dcf table",#N/A,FALSE,"Mgmt Forecast";"sensitivity",#N/A,FALSE,"Mgmt Forecast";"table inputs",#N/A,FALSE,"Mgmt Forecast";"calculations",#N/A,FALSE,"Mgmt Forecast"}</definedName>
    <definedName name="aaa" localSheetId="3" hidden="1">{"mgmt forecast",#N/A,FALSE,"Mgmt Forecast";"dcf table",#N/A,FALSE,"Mgmt Forecast";"sensitivity",#N/A,FALSE,"Mgmt Forecast";"table inputs",#N/A,FALSE,"Mgmt Forecast";"calculations",#N/A,FALSE,"Mgmt Forecast"}</definedName>
    <definedName name="aaa" localSheetId="2" hidden="1">{"mgmt forecast",#N/A,FALSE,"Mgmt Forecast";"dcf table",#N/A,FALSE,"Mgmt Forecast";"sensitivity",#N/A,FALSE,"Mgmt Forecast";"table inputs",#N/A,FALSE,"Mgmt Forecast";"calculations",#N/A,FALSE,"Mgmt Forecast"}</definedName>
    <definedName name="aaa" localSheetId="6" hidden="1">{"mgmt forecast",#N/A,FALSE,"Mgmt Forecast";"dcf table",#N/A,FALSE,"Mgmt Forecast";"sensitivity",#N/A,FALSE,"Mgmt Forecast";"table inputs",#N/A,FALSE,"Mgmt Forecast";"calculations",#N/A,FALSE,"Mgmt Forecast"}</definedName>
    <definedName name="aaa" localSheetId="5" hidden="1">{"mgmt forecast",#N/A,FALSE,"Mgmt Forecast";"dcf table",#N/A,FALSE,"Mgmt Forecast";"sensitivity",#N/A,FALSE,"Mgmt Forecast";"table inputs",#N/A,FALSE,"Mgmt Forecast";"calculations",#N/A,FALSE,"Mgmt Forecast"}</definedName>
    <definedName name="aaa" localSheetId="1" hidden="1">{"mgmt forecast",#N/A,FALSE,"Mgmt Forecast";"dcf table",#N/A,FALSE,"Mgmt Forecast";"sensitivity",#N/A,FALSE,"Mgmt Forecast";"table inputs",#N/A,FALSE,"Mgmt Forecast";"calculations",#N/A,FALSE,"Mgmt Forecast"}</definedName>
    <definedName name="aaa" localSheetId="4" hidden="1">{"mgmt forecast",#N/A,FALSE,"Mgmt Forecast";"dcf table",#N/A,FALSE,"Mgmt Forecast";"sensitivity",#N/A,FALSE,"Mgmt Forecast";"table inputs",#N/A,FALSE,"Mgmt Forecast";"calculations",#N/A,FALSE,"Mgmt Forecast"}</definedName>
    <definedName name="aaa" hidden="1">{"mgmt forecast",#N/A,FALSE,"Mgmt Forecast";"dcf table",#N/A,FALSE,"Mgmt Forecast";"sensitivity",#N/A,FALSE,"Mgmt Forecast";"table inputs",#N/A,FALSE,"Mgmt Forecast";"calculations",#N/A,FALSE,"Mgmt Forecast"}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djusted_EBIT" localSheetId="6">#REF!</definedName>
    <definedName name="Adjusted_EBIT" localSheetId="4">#REF!</definedName>
    <definedName name="Adjusted_EBITDA" localSheetId="6">#REF!</definedName>
    <definedName name="Adjusted_EBITDA" localSheetId="4">#REF!</definedName>
    <definedName name="_xlnm.Print_Area" localSheetId="4">Summary!$A$7:$L$156</definedName>
    <definedName name="_xlnm.Print_Area" localSheetId="0">'Title Page'!$A$1:$P$23</definedName>
    <definedName name="breakdown" localSheetId="6">#REF!</definedName>
    <definedName name="breakdown" localSheetId="4">#REF!</definedName>
    <definedName name="breakdown2" localSheetId="6">#REF!</definedName>
    <definedName name="breakdown2" localSheetId="4">#REF!</definedName>
    <definedName name="cu102.ShareScalingFactor" hidden="1">1000000</definedName>
    <definedName name="cu103.EmployeeScalingFactor" hidden="1">1000</definedName>
    <definedName name="cu107.DPSSymbol" hidden="1">"P"</definedName>
    <definedName name="cu107.EPSSymbol" hidden="1">"P"</definedName>
    <definedName name="cu71.ScalingFactor" hidden="1">1000000</definedName>
    <definedName name="data" localSheetId="6">#REF!</definedName>
    <definedName name="data" localSheetId="4">#REF!</definedName>
    <definedName name="data2" localSheetId="6">#REF!</definedName>
    <definedName name="data2" localSheetId="4">#REF!</definedName>
    <definedName name="E_ALL_BAP">#REF!</definedName>
    <definedName name="E_ALL_KEYWORDS_TYPE_ScalarContributed_EQTY_200010048">#REF!,#REF!,#REF!,#REF!,#REF!,#REF!</definedName>
    <definedName name="E_ALL_KEYWORDS_TYPE_ScalarReference_EQTY_200010048">#REF!</definedName>
    <definedName name="E_ALL_KEYWORDS_TYPE_ScalarReference_ISSR_208007774">#REF!</definedName>
    <definedName name="E_ALL_KEYWORDS_TYPE_Vector_EQTY_200010048">#REF!,#REF!,#REF!,#REF!,#REF!,#REF!,#REF!</definedName>
    <definedName name="E_ALL_SECTION_KEYWORDS_EQTY_200010048_1314">#REF!</definedName>
    <definedName name="E_ALL_SECTION_KEYWORDS_EQTY_200010048_1319">#REF!</definedName>
    <definedName name="E_ALL_SECTION_KEYWORDS_EQTY_200010048_131O">#REF!</definedName>
    <definedName name="E_ALL_SECTION_KEYWORDS_EQTY_200010048_13A">#REF!</definedName>
    <definedName name="E_ALL_SECTION_KEYWORDS_EQTY_200010048_13K">#REF!</definedName>
    <definedName name="E_ALL_SECTION_KEYWORDS_EQTY_200010048_13U">#REF!</definedName>
    <definedName name="E_ALL_SECTION_KEYWORDS_EQTY_200010048_13V">#REF!</definedName>
    <definedName name="E_ALL_SECTION_KEYWORDS_EQTY_200010048_13W">#REF!</definedName>
    <definedName name="E_ALL_SECTION_KEYWORDS_EQTY_200010048_Reference_Data">#REF!</definedName>
    <definedName name="E_ALL_SECTION_KEYWORDS_ISSR_208007774_1314">#REF!</definedName>
    <definedName name="E_ALL_SECTION_KEYWORDS_ISSR_208007774_13168">#REF!</definedName>
    <definedName name="E_ALL_SECTION_KEYWORDS_ISSR_208007774_1316U">#REF!</definedName>
    <definedName name="E_ALL_SECTION_KEYWORDS_ISSR_208007774_1319">#REF!</definedName>
    <definedName name="E_ALL_SECTION_KEYWORDS_ISSR_208007774_131E">#REF!</definedName>
    <definedName name="E_ALL_SECTION_KEYWORDS_ISSR_208007774_131J">#REF!</definedName>
    <definedName name="E_ALL_SECTION_KEYWORDS_ISSR_208007774_131O">#REF!</definedName>
    <definedName name="E_ALL_SECTION_KEYWORDS_ISSR_208007774_133M">#REF!</definedName>
    <definedName name="E_ALL_SECTION_KEYWORDS_ISSR_208007774_133R">#REF!</definedName>
    <definedName name="E_ALL_SECTION_KEYWORDS_ISSR_208007774_133W">#REF!</definedName>
    <definedName name="E_ALL_SECTION_KEYWORDS_ISSR_208007774_1341">#REF!</definedName>
    <definedName name="E_ALL_SECTION_KEYWORDS_ISSR_208007774_1346">#REF!</definedName>
    <definedName name="E_ALL_SECTION_KEYWORDS_ISSR_208007774_134B">#REF!</definedName>
    <definedName name="E_ALL_SECTION_KEYWORDS_ISSR_208007774_134G">#REF!</definedName>
    <definedName name="E_ALL_SECTION_KEYWORDS_ISSR_208007774_134L">#REF!</definedName>
    <definedName name="E_ALL_SECTION_KEYWORDS_ISSR_208007774_134Q">#REF!</definedName>
    <definedName name="E_ALL_SECTION_KEYWORDS_ISSR_208007774_134V">#REF!</definedName>
    <definedName name="E_ALL_SECTION_KEYWORDS_ISSR_208007774_136J">#REF!</definedName>
    <definedName name="E_ALL_SECTION_KEYWORDS_ISSR_208007774_13A">#REF!</definedName>
    <definedName name="E_ALL_SECTION_KEYWORDS_ISSR_208007774_13U">#REF!</definedName>
    <definedName name="E_ALL_SECTION_KEYWORDS_ISSR_208007774_13V">#REF!</definedName>
    <definedName name="E_ALL_SECTION_KEYWORDS_ISSR_208007774_Reference_Data">#REF!</definedName>
    <definedName name="E_ALL_SECTIONS_EQTY_200010048">#REF!,#REF!,#REF!,#REF!,#REF!,#REF!,#REF!,#REF!,#REF!</definedName>
    <definedName name="E_ALL_SECTIONS_ISSR_208007774">#REF!,#REF!,#REF!,#REF!,#REF!,#REF!,#REF!,#REF!,#REF!,#REF!,#REF!,#REF!,#REF!,#REF!,#REF!,#REF!,#REF!,#REF!,#REF!,#REF!,#REF!</definedName>
    <definedName name="E_CURRENCY_EQTY_200010048_PRI">#REF!</definedName>
    <definedName name="E_CURRENCY_EQTY_200010048_PUB">#REF!</definedName>
    <definedName name="E_CURRENCY_EQTY_200010048_REP">#REF!</definedName>
    <definedName name="E_CURRENCY_ISSR_208007774_REP">#REF!</definedName>
    <definedName name="E_KEYWORD_EQTY_200010048_AMER_CONVICTION">#REF!</definedName>
    <definedName name="E_KEYWORD_EQTY_200010048_AMER_LIST">#REF!</definedName>
    <definedName name="E_KEYWORD_EQTY_200010048_B_BS_L_GSEQUITY">#REF!</definedName>
    <definedName name="E_KEYWORD_EQTY_200010048_B_PL_GSBVPS">#REF!</definedName>
    <definedName name="E_KEYWORD_EQTY_200010048_B_PL_GSEPS">#REF!</definedName>
    <definedName name="E_KEYWORD_EQTY_200010048_B_PL_GSINCOME">#REF!</definedName>
    <definedName name="E_KEYWORD_EQTY_200010048_B_PL_PTASSOC">#REF!</definedName>
    <definedName name="E_KEYWORD_EQTY_200010048_BETA_ANALYST">#REF!</definedName>
    <definedName name="E_KEYWORD_EQTY_200010048_BVPS">#REF!</definedName>
    <definedName name="E_KEYWORD_EQTY_200010048_BVPS_PUB">#REF!</definedName>
    <definedName name="E_KEYWORD_EQTY_200010048_COE">#REF!</definedName>
    <definedName name="E_KEYWORD_EQTY_200010048_COMMON_DIV_PAID">#REF!</definedName>
    <definedName name="E_KEYWORD_EQTY_200010048_CURRENCY_ISO">#REF!</definedName>
    <definedName name="E_KEYWORD_EQTY_200010048_DILUTE_NI_IMPAC">#REF!</definedName>
    <definedName name="E_KEYWORD_EQTY_200010048_DILUTE_SHARES">#REF!</definedName>
    <definedName name="E_KEYWORD_EQTY_200010048_DPS">#REF!</definedName>
    <definedName name="E_KEYWORD_EQTY_200010048_DPS_PUB">#REF!</definedName>
    <definedName name="E_KEYWORD_EQTY_200010048_EBIT_PUB">#REF!</definedName>
    <definedName name="E_KEYWORD_EQTY_200010048_EBITDA_PUB">#REF!</definedName>
    <definedName name="E_KEYWORD_EQTY_200010048_EPS">#REF!</definedName>
    <definedName name="E_KEYWORD_EQTY_200010048_EPS_EX_ESO_B">#REF!</definedName>
    <definedName name="E_KEYWORD_EQTY_200010048_EPS_EX_ESO_D">#REF!</definedName>
    <definedName name="E_KEYWORD_EQTY_200010048_EPS_PUB">#REF!</definedName>
    <definedName name="E_KEYWORD_EQTY_200010048_EPS_PUB_EX_ESO">#REF!</definedName>
    <definedName name="E_KEYWORD_EQTY_200010048_EQ_PUB">#REF!</definedName>
    <definedName name="E_KEYWORD_EQTY_200010048_ESO_POST_TAX">#REF!</definedName>
    <definedName name="E_KEYWORD_EQTY_200010048_ESO_YEAR">#REF!</definedName>
    <definedName name="E_KEYWORD_EQTY_200010048_EV_ADJ_PUB">#REF!</definedName>
    <definedName name="E_KEYWORD_EQTY_200010048_FREE_FLOAT">#REF!</definedName>
    <definedName name="E_KEYWORD_EQTY_200010048_FULLY_DIL_EPS">#REF!</definedName>
    <definedName name="E_KEYWORD_EQTY_200010048_FV_GRANT">#REF!</definedName>
    <definedName name="E_KEYWORD_EQTY_200010048_INC_MINORITY">#REF!</definedName>
    <definedName name="E_KEYWORD_EQTY_200010048_Interim_Type">#REF!</definedName>
    <definedName name="E_KEYWORD_EQTY_200010048_LEGAL_RATING">#REF!</definedName>
    <definedName name="E_KEYWORD_EQTY_200010048_MARGIN_TAX_RATE">#REF!</definedName>
    <definedName name="E_KEYWORD_EQTY_200010048_MINOR_EQUITY">#REF!</definedName>
    <definedName name="E_KEYWORD_EQTY_200010048_MINOR_NON_EQUITY">#REF!</definedName>
    <definedName name="E_KEYWORD_EQTY_200010048_MKT_EQ_RISK_PREM">#REF!</definedName>
    <definedName name="E_KEYWORD_EQTY_200010048_NET_DEBT_PUB">#REF!</definedName>
    <definedName name="E_KEYWORD_EQTY_200010048_NET_EARNING">#REF!</definedName>
    <definedName name="E_KEYWORD_EQTY_200010048_NET_INC">#REF!</definedName>
    <definedName name="E_KEYWORD_EQTY_200010048_NI_PUB">#REF!</definedName>
    <definedName name="E_KEYWORD_EQTY_200010048_NON_OP_ADD">#REF!</definedName>
    <definedName name="E_KEYWORD_EQTY_200010048_NUM_SH">#REF!</definedName>
    <definedName name="E_KEYWORD_EQTY_200010048_PRICE_CURRENCY_ISO">#REF!</definedName>
    <definedName name="E_KEYWORD_EQTY_200010048_PROF_AT">#REF!</definedName>
    <definedName name="E_KEYWORD_EQTY_200010048_PROV_INC_TAX">#REF!</definedName>
    <definedName name="E_KEYWORD_EQTY_200010048_PTP_PUB">#REF!</definedName>
    <definedName name="E_KEYWORD_EQTY_200010048_PUB_CURRENCY_ISO">#REF!</definedName>
    <definedName name="E_KEYWORD_EQTY_200010048_REPUR_ACTUAL">#REF!</definedName>
    <definedName name="E_KEYWORD_EQTY_200010048_REPUR_REMAINING">#REF!</definedName>
    <definedName name="E_KEYWORD_EQTY_200010048_REPUR_SUSPENDED">#REF!</definedName>
    <definedName name="E_KEYWORD_EQTY_200010048_REPUR_TOT_AUTH">#REF!</definedName>
    <definedName name="E_KEYWORD_EQTY_200010048_REVS_PUB">#REF!</definedName>
    <definedName name="E_KEYWORD_EQTY_200010048_RISK_FR_RATE">#REF!</definedName>
    <definedName name="E_KEYWORD_EQTY_200010048_Security_Name">#REF!</definedName>
    <definedName name="E_KEYWORD_EQTY_200010048_SH">#REF!</definedName>
    <definedName name="E_KEYWORD_EQTY_200010048_TANG_BVPS">#REF!</definedName>
    <definedName name="E_KEYWORD_EQTY_200010048_TARGET_PRICE">#REF!</definedName>
    <definedName name="E_KEYWORD_EQTY_200010048_TAX_EXC">#REF!</definedName>
    <definedName name="E_KEYWORD_EQTY_200010048_TBVPS_LAST">#REF!</definedName>
    <definedName name="E_KEYWORD_EQTY_200010048_Ticker">#REF!</definedName>
    <definedName name="E_KEYWORD_EQTY_200010048_TP_PERIOD">#REF!</definedName>
    <definedName name="E_KEYWORD_ISSR_208007774_ACC_END_DATE">#REF!</definedName>
    <definedName name="E_KEYWORD_ISSR_208007774_ACCRUAL">#REF!</definedName>
    <definedName name="E_KEYWORD_ISSR_208007774_ASIA_ASS">#REF!</definedName>
    <definedName name="E_KEYWORD_ISSR_208007774_ASIA_OP">#REF!</definedName>
    <definedName name="E_KEYWORD_ISSR_208007774_ASIA_SALES">#REF!</definedName>
    <definedName name="E_KEYWORD_ISSR_208007774_ASSOCIATE">#REF!</definedName>
    <definedName name="E_KEYWORD_ISSR_208007774_B_ALLOW_LL_PE">#REF!</definedName>
    <definedName name="E_KEYWORD_ISSR_208007774_B_BS_A_DEBTTOT">#REF!</definedName>
    <definedName name="E_KEYWORD_ISSR_208007774_B_BS_A_LNBNK">#REF!</definedName>
    <definedName name="E_KEYWORD_ISSR_208007774_B_BS_A_NETLOANS">#REF!</definedName>
    <definedName name="E_KEYWORD_ISSR_208007774_B_BS_A_OTHINT1">#REF!</definedName>
    <definedName name="E_KEYWORD_ISSR_208007774_B_BS_A_PERIOD">#REF!</definedName>
    <definedName name="E_KEYWORD_ISSR_208007774_B_BS_L_BANKDEP">#REF!</definedName>
    <definedName name="E_KEYWORD_ISSR_208007774_B_BS_L_CUSTDEP">#REF!</definedName>
    <definedName name="E_KEYWORD_ISSR_208007774_B_BS_L_GSTANGEQ">#REF!</definedName>
    <definedName name="E_KEYWORD_ISSR_208007774_B_BS_L_PERIOD">#REF!</definedName>
    <definedName name="E_KEYWORD_ISSR_208007774_B_CA_BISRATIO">#REF!</definedName>
    <definedName name="E_KEYWORD_ISSR_208007774_B_CA_CAPBASE">#REF!</definedName>
    <definedName name="E_KEYWORD_ISSR_208007774_B_CA_PREFCAP">#REF!</definedName>
    <definedName name="E_KEYWORD_ISSR_208007774_B_CA_RWA">#REF!</definedName>
    <definedName name="E_KEYWORD_ISSR_208007774_B_CA_T1CAP">#REF!</definedName>
    <definedName name="E_KEYWORD_ISSR_208007774_B_CA_T1RATIO">#REF!</definedName>
    <definedName name="E_KEYWORD_ISSR_208007774_B_CA_T2CAP">#REF!</definedName>
    <definedName name="E_KEYWORD_ISSR_208007774_B_CA_T2RATIO">#REF!</definedName>
    <definedName name="E_KEYWORD_ISSR_208007774_B_DE_DEMAND">#REF!</definedName>
    <definedName name="E_KEYWORD_ISSR_208007774_B_DE_OTHERS">#REF!</definedName>
    <definedName name="E_KEYWORD_ISSR_208007774_B_DE_TIME">#REF!</definedName>
    <definedName name="E_KEYWORD_ISSR_208007774_B_DE_TOTDEPOSIT">#REF!</definedName>
    <definedName name="E_KEYWORD_ISSR_208007774_B_GAIN_SALE_SEC">#REF!</definedName>
    <definedName name="E_KEYWORD_ISSR_208007774_B_IH_BKVALUE">#REF!</definedName>
    <definedName name="E_KEYWORD_ISSR_208007774_B_IH_MKTVALUE">#REF!</definedName>
    <definedName name="E_KEYWORD_ISSR_208007774_B_IH_PTAXVALUE">#REF!</definedName>
    <definedName name="E_KEYWORD_ISSR_208007774_B_IH_TAX">#REF!</definedName>
    <definedName name="E_KEYWORD_ISSR_208007774_B_IH_UNREALISE">#REF!</definedName>
    <definedName name="E_KEYWORD_ISSR_208007774_B_LB_COMMCL">#REF!</definedName>
    <definedName name="E_KEYWORD_ISSR_208007774_B_LB_CONSTRUCT">#REF!</definedName>
    <definedName name="E_KEYWORD_ISSR_208007774_B_LB_FINANCL">#REF!</definedName>
    <definedName name="E_KEYWORD_ISSR_208007774_B_LB_FINLEASE">#REF!</definedName>
    <definedName name="E_KEYWORD_ISSR_208007774_B_LB_GOVERNMT">#REF!</definedName>
    <definedName name="E_KEYWORD_ISSR_208007774_B_LB_GROSSLOANS">#REF!</definedName>
    <definedName name="E_KEYWORD_ISSR_208007774_B_LB_MORTG">#REF!</definedName>
    <definedName name="E_KEYWORD_ISSR_208007774_B_LB_OTHER">#REF!</definedName>
    <definedName name="E_KEYWORD_ISSR_208007774_B_LB_OTHLEND">#REF!</definedName>
    <definedName name="E_KEYWORD_ISSR_208007774_B_LB_OTHSECURE">#REF!</definedName>
    <definedName name="E_KEYWORD_ISSR_208007774_B_LB_OVSEASLEND">#REF!</definedName>
    <definedName name="E_KEYWORD_ISSR_208007774_B_LB_PERSON">#REF!</definedName>
    <definedName name="E_KEYWORD_ISSR_208007774_B_LB_TOTCORP">#REF!</definedName>
    <definedName name="E_KEYWORD_ISSR_208007774_B_LB_TOTPERSNL">#REF!</definedName>
    <definedName name="E_KEYWORD_ISSR_208007774_B_MA_REPCOSTLIB">#REF!</definedName>
    <definedName name="E_KEYWORD_ISSR_208007774_B_MA_REPGYLD">#REF!</definedName>
    <definedName name="E_KEYWORD_ISSR_208007774_B_MA_REPIMPSPD">#REF!</definedName>
    <definedName name="E_KEYWORD_ISSR_208007774_B_MA_REPINTAST">#REF!</definedName>
    <definedName name="E_KEYWORD_ISSR_208007774_B_MA_REPINTLIB">#REF!</definedName>
    <definedName name="E_KEYWORD_ISSR_208007774_B_MA_REPNIM">#REF!</definedName>
    <definedName name="E_KEYWORD_ISSR_208007774_B_NON_INT_B_DEP">#REF!</definedName>
    <definedName name="E_KEYWORD_ISSR_208007774_B_NONP_L_PE">#REF!</definedName>
    <definedName name="E_KEYWORD_ISSR_208007774_B_NPL_PROBLN">#REF!</definedName>
    <definedName name="E_KEYWORD_ISSR_208007774_B_NPL_TOTNPL">#REF!</definedName>
    <definedName name="E_KEYWORD_ISSR_208007774_B_PL_LOANPRV">#REF!</definedName>
    <definedName name="E_KEYWORD_ISSR_208007774_B_PL_NETINTINC">#REF!</definedName>
    <definedName name="E_KEYWORD_ISSR_208007774_B_PV_GLLRCUST">#REF!</definedName>
    <definedName name="E_KEYWORD_ISSR_208007774_B_PV_SLLRCUST">#REF!</definedName>
    <definedName name="E_KEYWORD_ISSR_208007774_B_PV_TOTLLRCUST">#REF!</definedName>
    <definedName name="E_KEYWORD_ISSR_208007774_B_TOT_ASS_PE">#REF!</definedName>
    <definedName name="E_KEYWORD_ISSR_208007774_B_TOT_LOAN_NET_ALLOW_PE">#REF!</definedName>
    <definedName name="E_KEYWORD_ISSR_208007774_B_TOT_LOAN_PE">#REF!</definedName>
    <definedName name="E_KEYWORD_ISSR_208007774_B_TOT_SH_EQ_PE">#REF!</definedName>
    <definedName name="E_KEYWORD_ISSR_208007774_BAL_MINO_INT">#REF!</definedName>
    <definedName name="E_KEYWORD_ISSR_208007774_BRANCHES">#REF!</definedName>
    <definedName name="E_KEYWORD_ISSR_208007774_CAP_LEASES">#REF!</definedName>
    <definedName name="E_KEYWORD_ISSR_208007774_CASH_EQ">#REF!</definedName>
    <definedName name="E_KEYWORD_ISSR_208007774_CASH_PCT_OS_US">#REF!</definedName>
    <definedName name="E_KEYWORD_ISSR_208007774_COMMITMENTS">#REF!</definedName>
    <definedName name="E_KEYWORD_ISSR_208007774_CONTINGENCIES">#REF!</definedName>
    <definedName name="E_KEYWORD_ISSR_208007774_CURRENCY_ISO">#REF!</definedName>
    <definedName name="E_KEYWORD_ISSR_208007774_DEBT_SECUR">#REF!</definedName>
    <definedName name="E_KEYWORD_ISSR_208007774_DEPREC">#REF!</definedName>
    <definedName name="E_KEYWORD_ISSR_208007774_DIV_PAID">#REF!</definedName>
    <definedName name="E_KEYWORD_ISSR_208007774_DIVID_INC">#REF!</definedName>
    <definedName name="E_KEYWORD_ISSR_208007774_DOM_ASS">#REF!</definedName>
    <definedName name="E_KEYWORD_ISSR_208007774_DOM_OP">#REF!</definedName>
    <definedName name="E_KEYWORD_ISSR_208007774_DOM_SALES">#REF!</definedName>
    <definedName name="E_KEYWORD_ISSR_208007774_EBIT_FIN_SEGMENT">#REF!</definedName>
    <definedName name="E_KEYWORD_ISSR_208007774_EMER_ASS">#REF!</definedName>
    <definedName name="E_KEYWORD_ISSR_208007774_EMER_OP">#REF!</definedName>
    <definedName name="E_KEYWORD_ISSR_208007774_EMER_SALES">#REF!</definedName>
    <definedName name="E_KEYWORD_ISSR_208007774_EMPLOYEES">#REF!</definedName>
    <definedName name="E_KEYWORD_ISSR_208007774_EQ">#REF!</definedName>
    <definedName name="E_KEYWORD_ISSR_208007774_ESO_PRE_TAX">#REF!</definedName>
    <definedName name="E_KEYWORD_ISSR_208007774_EUR_ASS">#REF!</definedName>
    <definedName name="E_KEYWORD_ISSR_208007774_EURO_OP">#REF!</definedName>
    <definedName name="E_KEYWORD_ISSR_208007774_EURO_SALES">#REF!</definedName>
    <definedName name="E_KEYWORD_ISSR_208007774_FIN_TRANS_INC">#REF!</definedName>
    <definedName name="E_KEYWORD_ISSR_208007774_FIX_ASS_INV">#REF!</definedName>
    <definedName name="E_KEYWORD_ISSR_208007774_GEN_INS_INC">#REF!</definedName>
    <definedName name="E_KEYWORD_ISSR_208007774_GOODWILL">#REF!</definedName>
    <definedName name="E_KEYWORD_ISSR_208007774_GOODWILL_AMORT">#REF!</definedName>
    <definedName name="E_KEYWORD_ISSR_208007774_GROSS_OP_PROF">#REF!</definedName>
    <definedName name="E_KEYWORD_ISSR_208007774_INS_CLAIMS">#REF!</definedName>
    <definedName name="E_KEYWORD_ISSR_208007774_INT_EXP">#REF!</definedName>
    <definedName name="E_KEYWORD_ISSR_208007774_INT_INC">#REF!</definedName>
    <definedName name="E_KEYWORD_ISSR_208007774_INV_SECUR">#REF!</definedName>
    <definedName name="E_KEYWORD_ISSR_208007774_Issuer_Name">#REF!</definedName>
    <definedName name="E_KEYWORD_ISSR_208007774_LATAM_ASS">#REF!</definedName>
    <definedName name="E_KEYWORD_ISSR_208007774_LATAM_OP">#REF!</definedName>
    <definedName name="E_KEYWORD_ISSR_208007774_LATAM_SALES">#REF!</definedName>
    <definedName name="E_KEYWORD_ISSR_208007774_LEASE_PAY">#REF!</definedName>
    <definedName name="E_KEYWORD_ISSR_208007774_LIFE_INC">#REF!</definedName>
    <definedName name="E_KEYWORD_ISSR_208007774_LIFE_POLICY_ASS">#REF!</definedName>
    <definedName name="E_KEYWORD_ISSR_208007774_LIFE_POLICY_LIABS">#REF!</definedName>
    <definedName name="E_KEYWORD_ISSR_208007774_LIFE_SHARE">#REF!</definedName>
    <definedName name="E_KEYWORD_ISSR_208007774_MA_PROB">#REF!</definedName>
    <definedName name="E_KEYWORD_ISSR_208007774_MINOR_EQUITY_BS">#REF!</definedName>
    <definedName name="E_KEYWORD_ISSR_208007774_MINORITIES">#REF!</definedName>
    <definedName name="E_KEYWORD_ISSR_208007774_MV_ASSOCIATES">#REF!</definedName>
    <definedName name="E_KEYWORD_ISSR_208007774_NAM_ASS">#REF!</definedName>
    <definedName name="E_KEYWORD_ISSR_208007774_NAM_OP">#REF!</definedName>
    <definedName name="E_KEYWORD_ISSR_208007774_NAM_SALES">#REF!</definedName>
    <definedName name="E_KEYWORD_ISSR_208007774_NET_FEE">#REF!</definedName>
    <definedName name="E_KEYWORD_ISSR_208007774_NET_FIX_ASS">#REF!</definedName>
    <definedName name="E_KEYWORD_ISSR_208007774_NET_INTANG">#REF!</definedName>
    <definedName name="E_KEYWORD_ISSR_208007774_NET_OP_PROF">#REF!</definedName>
    <definedName name="E_KEYWORD_ISSR_208007774_NETCHGOFF_BS">#REF!</definedName>
    <definedName name="E_KEYWORD_ISSR_208007774_NON_INT_INC">#REF!</definedName>
    <definedName name="E_KEYWORD_ISSR_208007774_OP_COST">#REF!</definedName>
    <definedName name="E_KEYWORD_ISSR_208007774_ORD_SH_FUND">#REF!</definedName>
    <definedName name="E_KEYWORD_ISSR_208007774_OTH_ADMIN">#REF!</definedName>
    <definedName name="E_KEYWORD_ISSR_208007774_OTH_ASS">#REF!</definedName>
    <definedName name="E_KEYWORD_ISSR_208007774_OTH_ASSET">#REF!</definedName>
    <definedName name="E_KEYWORD_ISSR_208007774_OTH_COST">#REF!</definedName>
    <definedName name="E_KEYWORD_ISSR_208007774_OTH_COST_INC">#REF!</definedName>
    <definedName name="E_KEYWORD_ISSR_208007774_OTH_DACF_ADJ">#REF!</definedName>
    <definedName name="E_KEYWORD_ISSR_208007774_OTH_GCI_ADJ">#REF!</definedName>
    <definedName name="E_KEYWORD_ISSR_208007774_OTH_INC">#REF!</definedName>
    <definedName name="E_KEYWORD_ISSR_208007774_OTH_INTANG">#REF!</definedName>
    <definedName name="E_KEYWORD_ISSR_208007774_OTH_LIABS">#REF!</definedName>
    <definedName name="E_KEYWORD_ISSR_208007774_OTH_NONOP_EXP">#REF!</definedName>
    <definedName name="E_KEYWORD_ISSR_208007774_OTH_NONOP_INC">#REF!</definedName>
    <definedName name="E_KEYWORD_ISSR_208007774_OTH_OP">#REF!</definedName>
    <definedName name="E_KEYWORD_ISSR_208007774_OTH_PAY_LIABS">#REF!</definedName>
    <definedName name="E_KEYWORD_ISSR_208007774_OTH_PROVS">#REF!</definedName>
    <definedName name="E_KEYWORD_ISSR_208007774_OTH_SALES">#REF!</definedName>
    <definedName name="E_KEYWORD_ISSR_208007774_PCT_ASIA_ASS">#REF!</definedName>
    <definedName name="E_KEYWORD_ISSR_208007774_PCT_ASIA_OP">#REF!</definedName>
    <definedName name="E_KEYWORD_ISSR_208007774_PCT_ASIA_SALES">#REF!</definedName>
    <definedName name="E_KEYWORD_ISSR_208007774_PCT_DOM_ASS">#REF!</definedName>
    <definedName name="E_KEYWORD_ISSR_208007774_PCT_DOM_OP">#REF!</definedName>
    <definedName name="E_KEYWORD_ISSR_208007774_PCT_DOM_SALES">#REF!</definedName>
    <definedName name="E_KEYWORD_ISSR_208007774_PCT_EMER_ASS">#REF!</definedName>
    <definedName name="E_KEYWORD_ISSR_208007774_PCT_EMER_OP">#REF!</definedName>
    <definedName name="E_KEYWORD_ISSR_208007774_PCT_EMER_SALES">#REF!</definedName>
    <definedName name="E_KEYWORD_ISSR_208007774_PCT_EURO_ASS">#REF!</definedName>
    <definedName name="E_KEYWORD_ISSR_208007774_PCT_EURO_OP">#REF!</definedName>
    <definedName name="E_KEYWORD_ISSR_208007774_PCT_EURO_SALES">#REF!</definedName>
    <definedName name="E_KEYWORD_ISSR_208007774_PCT_LATAM_ASS">#REF!</definedName>
    <definedName name="E_KEYWORD_ISSR_208007774_PCT_LATAM_OP">#REF!</definedName>
    <definedName name="E_KEYWORD_ISSR_208007774_PCT_LATAM_SALES">#REF!</definedName>
    <definedName name="E_KEYWORD_ISSR_208007774_PCT_NAM_ASS">#REF!</definedName>
    <definedName name="E_KEYWORD_ISSR_208007774_PCT_NAM_OP">#REF!</definedName>
    <definedName name="E_KEYWORD_ISSR_208007774_PCT_NAM_SALES">#REF!</definedName>
    <definedName name="E_KEYWORD_ISSR_208007774_PCT_OTH_ASS">#REF!</definedName>
    <definedName name="E_KEYWORD_ISSR_208007774_PCT_OTH_OP">#REF!</definedName>
    <definedName name="E_KEYWORD_ISSR_208007774_PCT_OTH_SALES">#REF!</definedName>
    <definedName name="E_KEYWORD_ISSR_208007774_PERIOD_MILESTONE">#REF!</definedName>
    <definedName name="E_KEYWORD_ISSR_208007774_PERSONNEL">#REF!</definedName>
    <definedName name="E_KEYWORD_ISSR_208007774_PRE_PAYMNTS">#REF!</definedName>
    <definedName name="E_KEYWORD_ISSR_208007774_PREF_SHARE_CAP">#REF!</definedName>
    <definedName name="E_KEYWORD_ISSR_208007774_PROF_BTE">#REF!</definedName>
    <definedName name="E_KEYWORD_ISSR_208007774_PROFIT_ON_DISP">#REF!</definedName>
    <definedName name="E_KEYWORD_ISSR_208007774_PROV_BS">#REF!</definedName>
    <definedName name="E_KEYWORD_ISSR_208007774_PT_PROF">#REF!</definedName>
    <definedName name="E_KEYWORD_ISSR_208007774_RECOVERIES_BS">#REF!</definedName>
    <definedName name="E_KEYWORD_ISSR_208007774_REV_FIN_SEGMENT">#REF!</definedName>
    <definedName name="E_KEYWORD_ISSR_208007774_SALES">#REF!</definedName>
    <definedName name="E_KEYWORD_ISSR_208007774_SALES_ARGENTINA">#REF!</definedName>
    <definedName name="E_KEYWORD_ISSR_208007774_SALES_BRAZIL">#REF!</definedName>
    <definedName name="E_KEYWORD_ISSR_208007774_SALES_CANADA">#REF!</definedName>
    <definedName name="E_KEYWORD_ISSR_208007774_SALES_CEE">#REF!</definedName>
    <definedName name="E_KEYWORD_ISSR_208007774_SALES_CHILE">#REF!</definedName>
    <definedName name="E_KEYWORD_ISSR_208007774_SALES_CHINA">#REF!</definedName>
    <definedName name="E_KEYWORD_ISSR_208007774_SALES_COLOMBIA">#REF!</definedName>
    <definedName name="E_KEYWORD_ISSR_208007774_SALES_CONS">#REF!</definedName>
    <definedName name="E_KEYWORD_ISSR_208007774_SALES_EU_EX_UK">#REF!</definedName>
    <definedName name="E_KEYWORD_ISSR_208007774_SALES_FINAN">#REF!</definedName>
    <definedName name="E_KEYWORD_ISSR_208007774_SALES_FX_ARS">#REF!</definedName>
    <definedName name="E_KEYWORD_ISSR_208007774_SALES_FX_BRL">#REF!</definedName>
    <definedName name="E_KEYWORD_ISSR_208007774_SALES_FX_CAD">#REF!</definedName>
    <definedName name="E_KEYWORD_ISSR_208007774_SALES_FX_CLP">#REF!</definedName>
    <definedName name="E_KEYWORD_ISSR_208007774_SALES_FX_CNY">#REF!</definedName>
    <definedName name="E_KEYWORD_ISSR_208007774_SALES_FX_COP">#REF!</definedName>
    <definedName name="E_KEYWORD_ISSR_208007774_SALES_FX_EUR">#REF!</definedName>
    <definedName name="E_KEYWORD_ISSR_208007774_SALES_FX_GPB">#REF!</definedName>
    <definedName name="E_KEYWORD_ISSR_208007774_SALES_FX_INR">#REF!</definedName>
    <definedName name="E_KEYWORD_ISSR_208007774_SALES_FX_MXN">#REF!</definedName>
    <definedName name="E_KEYWORD_ISSR_208007774_SALES_FX_OTH">#REF!</definedName>
    <definedName name="E_KEYWORD_ISSR_208007774_SALES_FX_RUB">#REF!</definedName>
    <definedName name="E_KEYWORD_ISSR_208007774_SALES_FX_USD">#REF!</definedName>
    <definedName name="E_KEYWORD_ISSR_208007774_SALES_FX_VEF">#REF!</definedName>
    <definedName name="E_KEYWORD_ISSR_208007774_SALES_FX_YEN">#REF!</definedName>
    <definedName name="E_KEYWORD_ISSR_208007774_SALES_GOV">#REF!</definedName>
    <definedName name="E_KEYWORD_ISSR_208007774_SALES_IND">#REF!</definedName>
    <definedName name="E_KEYWORD_ISSR_208007774_SALES_INDIA">#REF!</definedName>
    <definedName name="E_KEYWORD_ISSR_208007774_SALES_JAPAN">#REF!</definedName>
    <definedName name="E_KEYWORD_ISSR_208007774_SALES_ME">#REF!</definedName>
    <definedName name="E_KEYWORD_ISSR_208007774_SALES_MEXICO">#REF!</definedName>
    <definedName name="E_KEYWORD_ISSR_208007774_SALES_OTH_AEJ">#REF!</definedName>
    <definedName name="E_KEYWORD_ISSR_208007774_SALES_OTH_AM">#REF!</definedName>
    <definedName name="E_KEYWORD_ISSR_208007774_SALES_OTH_EMEA">#REF!</definedName>
    <definedName name="E_KEYWORD_ISSR_208007774_SALES_OTHER">#REF!</definedName>
    <definedName name="E_KEYWORD_ISSR_208007774_SALES_RUSSIA">#REF!</definedName>
    <definedName name="E_KEYWORD_ISSR_208007774_SALES_SMB">#REF!</definedName>
    <definedName name="E_KEYWORD_ISSR_208007774_SALES_TOT_AFRICA">#REF!</definedName>
    <definedName name="E_KEYWORD_ISSR_208007774_SALES_TOT_AM">#REF!</definedName>
    <definedName name="E_KEYWORD_ISSR_208007774_SALES_TOT_ASIA">#REF!</definedName>
    <definedName name="E_KEYWORD_ISSR_208007774_SALES_TOT_EMEA">#REF!</definedName>
    <definedName name="E_KEYWORD_ISSR_208007774_SALES_UK">#REF!</definedName>
    <definedName name="E_KEYWORD_ISSR_208007774_SALES_US">#REF!</definedName>
    <definedName name="E_KEYWORD_ISSR_208007774_SALES_VENEZUELA">#REF!</definedName>
    <definedName name="E_KEYWORD_ISSR_208007774_SUB_ORD_LIABS">#REF!</definedName>
    <definedName name="E_KEYWORD_ISSR_208007774_TOT_ASS">#REF!</definedName>
    <definedName name="E_KEYWORD_ISSR_208007774_TOT_ASSET">#REF!</definedName>
    <definedName name="E_KEYWORD_ISSR_208007774_TOT_EXCEPTS">#REF!</definedName>
    <definedName name="E_KEYWORD_ISSR_208007774_TOT_LIAB">#REF!</definedName>
    <definedName name="E_KEYWORD_ISSR_208007774_TOT_LIAB_EQ">#REF!</definedName>
    <definedName name="E_KEYWORD_ISSR_208007774_TOT_OP">#REF!</definedName>
    <definedName name="E_KEYWORD_ISSR_208007774_TOT_PROVS">#REF!</definedName>
    <definedName name="E_KEYWORD_ISSR_208007774_TOT_SALES">#REF!</definedName>
    <definedName name="E_KEYWORD_ISSR_208007774_UNF_PENS">#REF!</definedName>
    <definedName name="E_KEYWORD_ISSR_208007774_UNF_PENS_LIAB_OTH">#REF!</definedName>
    <definedName name="E_KEYWORD_ISSR_208007774_UNF_PENS_OFF">#REF!</definedName>
    <definedName name="E_KEYWORD_ISSR_208007774_WRITE_OFFS_BS">#REF!</definedName>
    <definedName name="E_KEYWORD_ISSR_208007774_WTD_AVG_ASSET">#REF!</definedName>
    <definedName name="E_KEYWORD_ISSR_208007774_WTD_AVG_EQ">#REF!</definedName>
    <definedName name="E_LIVEDATA_EQTY_200010048">#REF!</definedName>
    <definedName name="E_LIVEDATA_ISSR_208007774">#REF!</definedName>
    <definedName name="E_PERIOD_1998">#REF!</definedName>
    <definedName name="E_PERIOD_1999">#REF!</definedName>
    <definedName name="E_PERIOD_2000">#REF!</definedName>
    <definedName name="E_PERIOD_2001">#REF!</definedName>
    <definedName name="E_PERIOD_2002">#REF!</definedName>
    <definedName name="E_PERIOD_2003">#REF!</definedName>
    <definedName name="E_PERIOD_2004">#REF!</definedName>
    <definedName name="E_PERIOD_2004_Q1">#REF!</definedName>
    <definedName name="E_PERIOD_2004_Q2">#REF!</definedName>
    <definedName name="E_PERIOD_2004_Q3">#REF!</definedName>
    <definedName name="E_PERIOD_2004_Q4">#REF!</definedName>
    <definedName name="E_PERIOD_2005">#REF!</definedName>
    <definedName name="E_PERIOD_2005_Q1">#REF!</definedName>
    <definedName name="E_PERIOD_2005_Q2">#REF!</definedName>
    <definedName name="E_PERIOD_2005_Q3">#REF!</definedName>
    <definedName name="E_PERIOD_2005_Q4">#REF!</definedName>
    <definedName name="E_PERIOD_2006">#REF!</definedName>
    <definedName name="E_PERIOD_2006_Q1">#REF!</definedName>
    <definedName name="E_PERIOD_2006_Q2">#REF!</definedName>
    <definedName name="E_PERIOD_2006_Q3">#REF!</definedName>
    <definedName name="E_PERIOD_2006_Q4">#REF!</definedName>
    <definedName name="E_PERIOD_2007">#REF!</definedName>
    <definedName name="E_PERIOD_2007_Q1">#REF!</definedName>
    <definedName name="E_PERIOD_2007_Q2">#REF!</definedName>
    <definedName name="E_PERIOD_2007_Q3">#REF!</definedName>
    <definedName name="E_PERIOD_2007_Q4">#REF!</definedName>
    <definedName name="E_PERIOD_2008">#REF!</definedName>
    <definedName name="E_PERIOD_2008_Q1">#REF!</definedName>
    <definedName name="E_PERIOD_2008_Q2">#REF!</definedName>
    <definedName name="E_PERIOD_2008_Q3">#REF!</definedName>
    <definedName name="E_PERIOD_2008_Q4">#REF!</definedName>
    <definedName name="E_PERIOD_2009">#REF!</definedName>
    <definedName name="E_PERIOD_2009_Q1">#REF!</definedName>
    <definedName name="E_PERIOD_2009_Q2">#REF!</definedName>
    <definedName name="E_PERIOD_2009_Q3">#REF!</definedName>
    <definedName name="E_PERIOD_2009_Q4">#REF!</definedName>
    <definedName name="E_PERIOD_2010">#REF!</definedName>
    <definedName name="E_PERIOD_2010_Q1">#REF!</definedName>
    <definedName name="E_PERIOD_2010_Q2">#REF!</definedName>
    <definedName name="E_PERIOD_2010_Q3">#REF!</definedName>
    <definedName name="E_PERIOD_2010_Q4">#REF!</definedName>
    <definedName name="E_PERIOD_2011">#REF!</definedName>
    <definedName name="E_PERIOD_2011_Q1">#REF!</definedName>
    <definedName name="E_PERIOD_2011_Q2">#REF!</definedName>
    <definedName name="E_PERIOD_2011_Q3">#REF!</definedName>
    <definedName name="E_PERIOD_2011_Q4">#REF!</definedName>
    <definedName name="E_PERIOD_2012">#REF!</definedName>
    <definedName name="E_PERIOD_2012_Q1">#REF!</definedName>
    <definedName name="E_PERIOD_2012_Q2">#REF!</definedName>
    <definedName name="E_PERIOD_2012_Q3">#REF!</definedName>
    <definedName name="E_PERIOD_2012_Q4">#REF!</definedName>
    <definedName name="E_PERIOD_2013">#REF!</definedName>
    <definedName name="E_PERIOD_2013_Q1">#REF!</definedName>
    <definedName name="E_PERIOD_2013_Q2">#REF!</definedName>
    <definedName name="E_PERIOD_2013_Q3">#REF!</definedName>
    <definedName name="E_PERIOD_2013_Q4">#REF!</definedName>
    <definedName name="E_PERIOD_2014">#REF!</definedName>
    <definedName name="E_PERIOD_2014_Q1">#REF!</definedName>
    <definedName name="E_PERIOD_2014_Q2">#REF!</definedName>
    <definedName name="E_PERIOD_2014_Q3">#REF!</definedName>
    <definedName name="E_PERIOD_2014_Q4">#REF!</definedName>
    <definedName name="E_PERIOD_2015">#REF!</definedName>
    <definedName name="E_PERIOD_2016">#REF!</definedName>
    <definedName name="E_PERIOD_2017">#REF!</definedName>
    <definedName name="E_PERIOD_2018">#REF!</definedName>
    <definedName name="E_SECTION_EQTY_200010048_1314">#REF!</definedName>
    <definedName name="E_SECTION_EQTY_200010048_1319">#REF!</definedName>
    <definedName name="E_SECTION_EQTY_200010048_131O">#REF!</definedName>
    <definedName name="E_SECTION_EQTY_200010048_13A">#REF!</definedName>
    <definedName name="E_SECTION_EQTY_200010048_13K">#REF!</definedName>
    <definedName name="E_SECTION_EQTY_200010048_13U">#REF!</definedName>
    <definedName name="E_SECTION_EQTY_200010048_13V">#REF!</definedName>
    <definedName name="E_SECTION_EQTY_200010048_13W">#REF!</definedName>
    <definedName name="E_SECTION_EQTY_200010048_Reference_Data">#REF!</definedName>
    <definedName name="E_SECTION_ISSR_208007774_1314">#REF!</definedName>
    <definedName name="E_SECTION_ISSR_208007774_13168">#REF!</definedName>
    <definedName name="E_SECTION_ISSR_208007774_1316U">#REF!</definedName>
    <definedName name="E_SECTION_ISSR_208007774_1319">#REF!</definedName>
    <definedName name="E_SECTION_ISSR_208007774_131E">#REF!</definedName>
    <definedName name="E_SECTION_ISSR_208007774_131J">#REF!</definedName>
    <definedName name="E_SECTION_ISSR_208007774_131O">#REF!</definedName>
    <definedName name="E_SECTION_ISSR_208007774_133M">#REF!</definedName>
    <definedName name="E_SECTION_ISSR_208007774_133R">#REF!</definedName>
    <definedName name="E_SECTION_ISSR_208007774_133W">#REF!</definedName>
    <definedName name="E_SECTION_ISSR_208007774_1341">#REF!</definedName>
    <definedName name="E_SECTION_ISSR_208007774_1346">#REF!</definedName>
    <definedName name="E_SECTION_ISSR_208007774_134B">#REF!</definedName>
    <definedName name="E_SECTION_ISSR_208007774_134G">#REF!</definedName>
    <definedName name="E_SECTION_ISSR_208007774_134L">#REF!</definedName>
    <definedName name="E_SECTION_ISSR_208007774_134Q">#REF!</definedName>
    <definedName name="E_SECTION_ISSR_208007774_134V">#REF!</definedName>
    <definedName name="E_SECTION_ISSR_208007774_13A">#REF!</definedName>
    <definedName name="E_SECTION_ISSR_208007774_13U">#REF!</definedName>
    <definedName name="E_SECTION_ISSR_208007774_13V">#REF!</definedName>
    <definedName name="E_SECTION_ISSR_208007774_Reference_Data">#REF!</definedName>
    <definedName name="earningscel" localSheetId="6">#REF!</definedName>
    <definedName name="earningscel" localSheetId="4">#REF!</definedName>
    <definedName name="earningscel2" localSheetId="6">#REF!</definedName>
    <definedName name="earningscel2" localSheetId="4">#REF!</definedName>
    <definedName name="earningscell2" localSheetId="6">#REF!</definedName>
    <definedName name="earningscell2" localSheetId="4">#REF!</definedName>
    <definedName name="ev.Calculation" hidden="1">-4135</definedName>
    <definedName name="ev.Initialized" hidden="1">FALSE</definedName>
    <definedName name="F.2008.12" localSheetId="6">#REF!</definedName>
    <definedName name="F.2008.12" localSheetId="4">#REF!</definedName>
    <definedName name="fbreakdown2" localSheetId="6">#REF!</definedName>
    <definedName name="fbreakdown2" localSheetId="4">#REF!</definedName>
    <definedName name="fearningscel2" localSheetId="6">#REF!</definedName>
    <definedName name="fearningscel2" localSheetId="4">#REF!</definedName>
    <definedName name="Interest_Paid" localSheetId="6">#REF!</definedName>
    <definedName name="Interest_Paid" localSheetId="4">#REF!</definedName>
    <definedName name="L_ALL_BAP">#REF!</definedName>
    <definedName name="L_ALL_BAP_">#REF!</definedName>
    <definedName name="L_ALL_KEYWORDS_TYPE_ScalarContributed_EQTY_200010048">#REF!,#REF!,#REF!,#REF!,#REF!,#REF!</definedName>
    <definedName name="L_ALL_KEYWORDS_TYPE_ScalarReference_EQTY_200010048">#REF!</definedName>
    <definedName name="L_ALL_KEYWORDS_TYPE_ScalarReference_ISSR_208007774">#REF!</definedName>
    <definedName name="L_ALL_KEYWORDS_TYPE_Vector_EQTY_200010048">#REF!,#REF!,#REF!,#REF!,#REF!,#REF!,#REF!</definedName>
    <definedName name="L_ALL_KEYWORDS_TYPE_Vector_ISSR_208007774">#REF!,#REF!,#REF!,#REF!,#REF!,#REF!,#REF!,#REF!,#REF!,#REF!,#REF!,#REF!,#REF!,#REF!,#REF!,#REF!,#REF!,#REF!,#REF!,#REF!,#REF!,#REF!,#REF!,#REF!,#REF!</definedName>
    <definedName name="L_ALL_SECTION_KEYWORDS_EQTY_200010048_1314">#REF!</definedName>
    <definedName name="L_ALL_SECTION_KEYWORDS_EQTY_200010048_1319">#REF!</definedName>
    <definedName name="L_ALL_SECTION_KEYWORDS_EQTY_200010048_131O">#REF!</definedName>
    <definedName name="L_ALL_SECTION_KEYWORDS_EQTY_200010048_13A">#REF!</definedName>
    <definedName name="L_ALL_SECTION_KEYWORDS_EQTY_200010048_13K">#REF!</definedName>
    <definedName name="L_ALL_SECTION_KEYWORDS_EQTY_200010048_13U">#REF!</definedName>
    <definedName name="L_ALL_SECTION_KEYWORDS_EQTY_200010048_13V">#REF!</definedName>
    <definedName name="L_ALL_SECTION_KEYWORDS_EQTY_200010048_13W">#REF!</definedName>
    <definedName name="L_ALL_SECTION_KEYWORDS_EQTY_200010048_Reference_Data">#REF!</definedName>
    <definedName name="L_ALL_SECTION_KEYWORDS_ISSR_208007774_1314">#REF!</definedName>
    <definedName name="L_ALL_SECTION_KEYWORDS_ISSR_208007774_13168">#REF!</definedName>
    <definedName name="L_ALL_SECTION_KEYWORDS_ISSR_208007774_1316U">#REF!</definedName>
    <definedName name="L_ALL_SECTION_KEYWORDS_ISSR_208007774_1319">#REF!</definedName>
    <definedName name="L_ALL_SECTION_KEYWORDS_ISSR_208007774_131E">#REF!</definedName>
    <definedName name="L_ALL_SECTION_KEYWORDS_ISSR_208007774_131J">#REF!</definedName>
    <definedName name="L_ALL_SECTION_KEYWORDS_ISSR_208007774_131O">#REF!</definedName>
    <definedName name="L_ALL_SECTION_KEYWORDS_ISSR_208007774_133M">#REF!</definedName>
    <definedName name="L_ALL_SECTION_KEYWORDS_ISSR_208007774_133R">#REF!</definedName>
    <definedName name="L_ALL_SECTION_KEYWORDS_ISSR_208007774_133W">#REF!</definedName>
    <definedName name="L_ALL_SECTION_KEYWORDS_ISSR_208007774_1341">#REF!</definedName>
    <definedName name="L_ALL_SECTION_KEYWORDS_ISSR_208007774_1346">#REF!</definedName>
    <definedName name="L_ALL_SECTION_KEYWORDS_ISSR_208007774_134B">#REF!</definedName>
    <definedName name="L_ALL_SECTION_KEYWORDS_ISSR_208007774_134G">#REF!</definedName>
    <definedName name="L_ALL_SECTION_KEYWORDS_ISSR_208007774_134L">#REF!</definedName>
    <definedName name="L_ALL_SECTION_KEYWORDS_ISSR_208007774_134Q">#REF!</definedName>
    <definedName name="L_ALL_SECTION_KEYWORDS_ISSR_208007774_134V">#REF!</definedName>
    <definedName name="L_ALL_SECTION_KEYWORDS_ISSR_208007774_136J">#REF!</definedName>
    <definedName name="L_ALL_SECTION_KEYWORDS_ISSR_208007774_13A">#REF!</definedName>
    <definedName name="L_ALL_SECTION_KEYWORDS_ISSR_208007774_13U">#REF!</definedName>
    <definedName name="L_ALL_SECTION_KEYWORDS_ISSR_208007774_13V">#REF!</definedName>
    <definedName name="L_ALL_SECTION_KEYWORDS_ISSR_208007774_Reference_Data">#REF!</definedName>
    <definedName name="L_ALL_SECTIONS_EQTY_200010048">#REF!,#REF!,#REF!,#REF!,#REF!,#REF!,#REF!,#REF!,#REF!</definedName>
    <definedName name="L_ALL_SECTIONS_ISSR_208007774">#REF!,#REF!,#REF!,#REF!,#REF!,#REF!,#REF!,#REF!,#REF!,#REF!,#REF!,#REF!,#REF!,#REF!,#REF!,#REF!,#REF!,#REF!,#REF!,#REF!,#REF!</definedName>
    <definedName name="L_CURRENCY_EQTY_200010048_PRI">#REF!</definedName>
    <definedName name="L_CURRENCY_EQTY_200010048_PUB">#REF!</definedName>
    <definedName name="L_CURRENCY_EQTY_200010048_REP">#REF!</definedName>
    <definedName name="L_CURRENCY_ISSR_208007774_REP">#REF!</definedName>
    <definedName name="L_KEYWORD_EQTY_200010048_AMER_CONVICTION">#REF!</definedName>
    <definedName name="L_KEYWORD_EQTY_200010048_AMER_LIST">#REF!</definedName>
    <definedName name="L_KEYWORD_EQTY_200010048_B_BS_L_GSEQUITY">#REF!</definedName>
    <definedName name="L_KEYWORD_EQTY_200010048_B_PL_GSBVPS">#REF!</definedName>
    <definedName name="L_KEYWORD_EQTY_200010048_B_PL_GSEPS">#REF!</definedName>
    <definedName name="L_KEYWORD_EQTY_200010048_B_PL_GSINCOME">#REF!</definedName>
    <definedName name="L_KEYWORD_EQTY_200010048_B_PL_PTASSOC">#REF!</definedName>
    <definedName name="L_KEYWORD_EQTY_200010048_BETA_ANALYST">#REF!</definedName>
    <definedName name="L_KEYWORD_EQTY_200010048_BVPS">#REF!</definedName>
    <definedName name="L_KEYWORD_EQTY_200010048_BVPS_PUB">#REF!</definedName>
    <definedName name="L_KEYWORD_EQTY_200010048_COE">#REF!</definedName>
    <definedName name="L_KEYWORD_EQTY_200010048_COMMON_DIV_PAID">#REF!</definedName>
    <definedName name="L_KEYWORD_EQTY_200010048_CURRENCY_ISO">#REF!</definedName>
    <definedName name="L_KEYWORD_EQTY_200010048_DILUTE_NI_IMPAC">#REF!</definedName>
    <definedName name="L_KEYWORD_EQTY_200010048_DILUTE_SHARES">#REF!</definedName>
    <definedName name="L_KEYWORD_EQTY_200010048_DPS">#REF!</definedName>
    <definedName name="L_KEYWORD_EQTY_200010048_DPS_PUB">#REF!</definedName>
    <definedName name="L_KEYWORD_EQTY_200010048_EBIT_PUB">#REF!</definedName>
    <definedName name="L_KEYWORD_EQTY_200010048_EBITDA_PUB">#REF!</definedName>
    <definedName name="L_KEYWORD_EQTY_200010048_EPS">#REF!</definedName>
    <definedName name="L_KEYWORD_EQTY_200010048_EPS_EX_ESO_B">#REF!</definedName>
    <definedName name="L_KEYWORD_EQTY_200010048_EPS_EX_ESO_D">#REF!</definedName>
    <definedName name="L_KEYWORD_EQTY_200010048_EPS_PUB">#REF!</definedName>
    <definedName name="L_KEYWORD_EQTY_200010048_EPS_PUB_EX_ESO">#REF!</definedName>
    <definedName name="L_KEYWORD_EQTY_200010048_EQ_PUB">#REF!</definedName>
    <definedName name="L_KEYWORD_EQTY_200010048_ESO_POST_TAX">#REF!</definedName>
    <definedName name="L_KEYWORD_EQTY_200010048_ESO_YEAR">#REF!</definedName>
    <definedName name="L_KEYWORD_EQTY_200010048_EV_ADJ_PUB">#REF!</definedName>
    <definedName name="L_KEYWORD_EQTY_200010048_FREE_FLOAT">#REF!</definedName>
    <definedName name="L_KEYWORD_EQTY_200010048_FULLY_DIL_EPS">#REF!</definedName>
    <definedName name="L_KEYWORD_EQTY_200010048_FV_GRANT">#REF!</definedName>
    <definedName name="L_KEYWORD_EQTY_200010048_INC_MINORITY">#REF!</definedName>
    <definedName name="L_KEYWORD_EQTY_200010048_Interim_Type">#REF!</definedName>
    <definedName name="L_KEYWORD_EQTY_200010048_LEGAL_RATING">#REF!</definedName>
    <definedName name="L_KEYWORD_EQTY_200010048_MARGIN_TAX_RATE">#REF!</definedName>
    <definedName name="L_KEYWORD_EQTY_200010048_MINOR_EQUITY">#REF!</definedName>
    <definedName name="L_KEYWORD_EQTY_200010048_MINOR_NON_EQUITY">#REF!</definedName>
    <definedName name="L_KEYWORD_EQTY_200010048_MKT_EQ_RISK_PREM">#REF!</definedName>
    <definedName name="L_KEYWORD_EQTY_200010048_NET_DEBT_PUB">#REF!</definedName>
    <definedName name="L_KEYWORD_EQTY_200010048_NET_EARNING">#REF!</definedName>
    <definedName name="L_KEYWORD_EQTY_200010048_NET_INC">#REF!</definedName>
    <definedName name="L_KEYWORD_EQTY_200010048_NI_PUB">#REF!</definedName>
    <definedName name="L_KEYWORD_EQTY_200010048_NON_OP_ADD">#REF!</definedName>
    <definedName name="L_KEYWORD_EQTY_200010048_NUM_SH">#REF!</definedName>
    <definedName name="L_KEYWORD_EQTY_200010048_PRICE_CURRENCY_ISO">#REF!</definedName>
    <definedName name="L_KEYWORD_EQTY_200010048_PROF_AT">#REF!</definedName>
    <definedName name="L_KEYWORD_EQTY_200010048_PROV_INC_TAX">#REF!</definedName>
    <definedName name="L_KEYWORD_EQTY_200010048_PTP_PUB">#REF!</definedName>
    <definedName name="L_KEYWORD_EQTY_200010048_PUB_CURRENCY_ISO">#REF!</definedName>
    <definedName name="L_KEYWORD_EQTY_200010048_REPUR_ACTUAL">#REF!</definedName>
    <definedName name="L_KEYWORD_EQTY_200010048_REPUR_REMAINING">#REF!</definedName>
    <definedName name="L_KEYWORD_EQTY_200010048_REPUR_SUSPENDED">#REF!</definedName>
    <definedName name="L_KEYWORD_EQTY_200010048_REPUR_TOT_AUTH">#REF!</definedName>
    <definedName name="L_KEYWORD_EQTY_200010048_REVS_PUB">#REF!</definedName>
    <definedName name="L_KEYWORD_EQTY_200010048_RISK_FR_RATE">#REF!</definedName>
    <definedName name="L_KEYWORD_EQTY_200010048_Security_Name">#REF!</definedName>
    <definedName name="L_KEYWORD_EQTY_200010048_SH">#REF!</definedName>
    <definedName name="L_KEYWORD_EQTY_200010048_TANG_BVPS">#REF!</definedName>
    <definedName name="L_KEYWORD_EQTY_200010048_TARGET_PRICE">#REF!</definedName>
    <definedName name="L_KEYWORD_EQTY_200010048_TAX_EXC">#REF!</definedName>
    <definedName name="L_KEYWORD_EQTY_200010048_TBVPS_LAST">#REF!</definedName>
    <definedName name="L_KEYWORD_EQTY_200010048_Ticker">#REF!</definedName>
    <definedName name="L_KEYWORD_EQTY_200010048_TP_PERIOD">#REF!</definedName>
    <definedName name="L_KEYWORD_ISSR_208007774_ACC_END_DATE">#REF!</definedName>
    <definedName name="L_KEYWORD_ISSR_208007774_ACCRUAL">#REF!</definedName>
    <definedName name="L_KEYWORD_ISSR_208007774_ASIA_ASS">#REF!</definedName>
    <definedName name="L_KEYWORD_ISSR_208007774_ASIA_OP">#REF!</definedName>
    <definedName name="L_KEYWORD_ISSR_208007774_ASIA_SALES">#REF!</definedName>
    <definedName name="L_KEYWORD_ISSR_208007774_ASSOCIATE">#REF!</definedName>
    <definedName name="L_KEYWORD_ISSR_208007774_B_ALLOW_LL_PE">#REF!</definedName>
    <definedName name="L_KEYWORD_ISSR_208007774_B_BS_A_DEBTTOT">#REF!</definedName>
    <definedName name="L_KEYWORD_ISSR_208007774_B_BS_A_LNBNK">#REF!</definedName>
    <definedName name="L_KEYWORD_ISSR_208007774_B_BS_A_NETLOANS">#REF!</definedName>
    <definedName name="L_KEYWORD_ISSR_208007774_B_BS_A_OTHINT1">#REF!</definedName>
    <definedName name="L_KEYWORD_ISSR_208007774_B_BS_A_PERIOD">#REF!</definedName>
    <definedName name="L_KEYWORD_ISSR_208007774_B_BS_L_BANKDEP">#REF!</definedName>
    <definedName name="L_KEYWORD_ISSR_208007774_B_BS_L_CUSTDEP">#REF!</definedName>
    <definedName name="L_KEYWORD_ISSR_208007774_B_BS_L_GSTANGEQ">#REF!</definedName>
    <definedName name="L_KEYWORD_ISSR_208007774_B_BS_L_PERIOD">#REF!</definedName>
    <definedName name="L_KEYWORD_ISSR_208007774_B_CA_BISRATIO">#REF!</definedName>
    <definedName name="L_KEYWORD_ISSR_208007774_B_CA_CAPBASE">#REF!</definedName>
    <definedName name="L_KEYWORD_ISSR_208007774_B_CA_PREFCAP">#REF!</definedName>
    <definedName name="L_KEYWORD_ISSR_208007774_B_CA_RWA">#REF!</definedName>
    <definedName name="L_KEYWORD_ISSR_208007774_B_CA_T1CAP">#REF!</definedName>
    <definedName name="L_KEYWORD_ISSR_208007774_B_CA_T1RATIO">#REF!</definedName>
    <definedName name="L_KEYWORD_ISSR_208007774_B_CA_T2CAP">#REF!</definedName>
    <definedName name="L_KEYWORD_ISSR_208007774_B_CA_T2RATIO">#REF!</definedName>
    <definedName name="L_KEYWORD_ISSR_208007774_B_DE_DEMAND">#REF!</definedName>
    <definedName name="L_KEYWORD_ISSR_208007774_B_DE_OTHERS">#REF!</definedName>
    <definedName name="L_KEYWORD_ISSR_208007774_B_DE_TIME">#REF!</definedName>
    <definedName name="L_KEYWORD_ISSR_208007774_B_DE_TOTDEPOSIT">#REF!</definedName>
    <definedName name="L_KEYWORD_ISSR_208007774_B_GAIN_SALE_SEC">#REF!</definedName>
    <definedName name="L_KEYWORD_ISSR_208007774_B_IH_BKVALUE">#REF!</definedName>
    <definedName name="L_KEYWORD_ISSR_208007774_B_IH_MKTVALUE">#REF!</definedName>
    <definedName name="L_KEYWORD_ISSR_208007774_B_IH_PTAXVALUE">#REF!</definedName>
    <definedName name="L_KEYWORD_ISSR_208007774_B_IH_TAX">#REF!</definedName>
    <definedName name="L_KEYWORD_ISSR_208007774_B_IH_UNREALISE">#REF!</definedName>
    <definedName name="L_KEYWORD_ISSR_208007774_B_LB_COMMCL">#REF!</definedName>
    <definedName name="L_KEYWORD_ISSR_208007774_B_LB_CONSTRUCT">#REF!</definedName>
    <definedName name="L_KEYWORD_ISSR_208007774_B_LB_FINANCL">#REF!</definedName>
    <definedName name="L_KEYWORD_ISSR_208007774_B_LB_FINLEASE">#REF!</definedName>
    <definedName name="L_KEYWORD_ISSR_208007774_B_LB_GOVERNMT">#REF!</definedName>
    <definedName name="L_KEYWORD_ISSR_208007774_B_LB_GROSSLOANS">#REF!</definedName>
    <definedName name="L_KEYWORD_ISSR_208007774_B_LB_MORTG">#REF!</definedName>
    <definedName name="L_KEYWORD_ISSR_208007774_B_LB_OTHER">#REF!</definedName>
    <definedName name="L_KEYWORD_ISSR_208007774_B_LB_OTHLEND">#REF!</definedName>
    <definedName name="L_KEYWORD_ISSR_208007774_B_LB_OTHSECURE">#REF!</definedName>
    <definedName name="L_KEYWORD_ISSR_208007774_B_LB_OVSEASLEND">#REF!</definedName>
    <definedName name="L_KEYWORD_ISSR_208007774_B_LB_PERSON">#REF!</definedName>
    <definedName name="L_KEYWORD_ISSR_208007774_B_LB_TOTCORP">#REF!</definedName>
    <definedName name="L_KEYWORD_ISSR_208007774_B_LB_TOTPERSNL">#REF!</definedName>
    <definedName name="L_KEYWORD_ISSR_208007774_B_MA_REPCOSTLIB">#REF!</definedName>
    <definedName name="L_KEYWORD_ISSR_208007774_B_MA_REPGYLD">#REF!</definedName>
    <definedName name="L_KEYWORD_ISSR_208007774_B_MA_REPIMPSPD">#REF!</definedName>
    <definedName name="L_KEYWORD_ISSR_208007774_B_MA_REPINTAST">#REF!</definedName>
    <definedName name="L_KEYWORD_ISSR_208007774_B_MA_REPINTLIB">#REF!</definedName>
    <definedName name="L_KEYWORD_ISSR_208007774_B_MA_REPNIM">#REF!</definedName>
    <definedName name="L_KEYWORD_ISSR_208007774_B_NON_INT_B_DEP">#REF!</definedName>
    <definedName name="L_KEYWORD_ISSR_208007774_B_NONP_L_PE">#REF!</definedName>
    <definedName name="L_KEYWORD_ISSR_208007774_B_NPL_PROBLN">#REF!</definedName>
    <definedName name="L_KEYWORD_ISSR_208007774_B_NPL_TOTNPL">#REF!</definedName>
    <definedName name="L_KEYWORD_ISSR_208007774_B_PL_LOANPRV">#REF!</definedName>
    <definedName name="L_KEYWORD_ISSR_208007774_B_PL_NETINTINC">#REF!</definedName>
    <definedName name="L_KEYWORD_ISSR_208007774_B_PV_GLLRCUST">#REF!</definedName>
    <definedName name="L_KEYWORD_ISSR_208007774_B_PV_SLLRCUST">#REF!</definedName>
    <definedName name="L_KEYWORD_ISSR_208007774_B_PV_TOTLLRCUST">#REF!</definedName>
    <definedName name="L_KEYWORD_ISSR_208007774_B_TOT_ASS_PE">#REF!</definedName>
    <definedName name="L_KEYWORD_ISSR_208007774_B_TOT_LOAN_NET_ALLOW_PE">#REF!</definedName>
    <definedName name="L_KEYWORD_ISSR_208007774_B_TOT_LOAN_PE">#REF!</definedName>
    <definedName name="L_KEYWORD_ISSR_208007774_B_TOT_SH_EQ_PE">#REF!</definedName>
    <definedName name="L_KEYWORD_ISSR_208007774_BAL_MINO_INT">#REF!</definedName>
    <definedName name="L_KEYWORD_ISSR_208007774_BRANCHES">#REF!</definedName>
    <definedName name="L_KEYWORD_ISSR_208007774_CAP_LEASES">#REF!</definedName>
    <definedName name="L_KEYWORD_ISSR_208007774_CASH_EQ">#REF!</definedName>
    <definedName name="L_KEYWORD_ISSR_208007774_CASH_PCT_OS_US">#REF!</definedName>
    <definedName name="L_KEYWORD_ISSR_208007774_COMMITMENTS">#REF!</definedName>
    <definedName name="L_KEYWORD_ISSR_208007774_CONTINGENCIES">#REF!</definedName>
    <definedName name="L_KEYWORD_ISSR_208007774_CURRENCY_ISO">#REF!</definedName>
    <definedName name="L_KEYWORD_ISSR_208007774_DEBT_SECUR">#REF!</definedName>
    <definedName name="L_KEYWORD_ISSR_208007774_DEPREC">#REF!</definedName>
    <definedName name="L_KEYWORD_ISSR_208007774_DIV_PAID">#REF!</definedName>
    <definedName name="L_KEYWORD_ISSR_208007774_DIVID_INC">#REF!</definedName>
    <definedName name="L_KEYWORD_ISSR_208007774_DOM_ASS">#REF!</definedName>
    <definedName name="L_KEYWORD_ISSR_208007774_DOM_OP">#REF!</definedName>
    <definedName name="L_KEYWORD_ISSR_208007774_DOM_SALES">#REF!</definedName>
    <definedName name="L_KEYWORD_ISSR_208007774_EBIT_FIN_SEGMENT">#REF!</definedName>
    <definedName name="L_KEYWORD_ISSR_208007774_EMER_ASS">#REF!</definedName>
    <definedName name="L_KEYWORD_ISSR_208007774_EMER_OP">#REF!</definedName>
    <definedName name="L_KEYWORD_ISSR_208007774_EMER_SALES">#REF!</definedName>
    <definedName name="L_KEYWORD_ISSR_208007774_EMPLOYEES">#REF!</definedName>
    <definedName name="L_KEYWORD_ISSR_208007774_EQ">#REF!</definedName>
    <definedName name="L_KEYWORD_ISSR_208007774_ESO_PRE_TAX">#REF!</definedName>
    <definedName name="L_KEYWORD_ISSR_208007774_EUR_ASS">#REF!</definedName>
    <definedName name="L_KEYWORD_ISSR_208007774_EURO_OP">#REF!</definedName>
    <definedName name="L_KEYWORD_ISSR_208007774_EURO_SALES">#REF!</definedName>
    <definedName name="L_KEYWORD_ISSR_208007774_FIN_TRANS_INC">#REF!</definedName>
    <definedName name="L_KEYWORD_ISSR_208007774_FIX_ASS_INV">#REF!</definedName>
    <definedName name="L_KEYWORD_ISSR_208007774_GEN_INS_INC">#REF!</definedName>
    <definedName name="L_KEYWORD_ISSR_208007774_GOODWILL">#REF!</definedName>
    <definedName name="L_KEYWORD_ISSR_208007774_GOODWILL_AMORT">#REF!</definedName>
    <definedName name="L_KEYWORD_ISSR_208007774_GROSS_OP_PROF">#REF!</definedName>
    <definedName name="L_KEYWORD_ISSR_208007774_INS_CLAIMS">#REF!</definedName>
    <definedName name="L_KEYWORD_ISSR_208007774_INT_EXP">#REF!</definedName>
    <definedName name="L_KEYWORD_ISSR_208007774_INT_INC">#REF!</definedName>
    <definedName name="L_KEYWORD_ISSR_208007774_INV_SECUR">#REF!</definedName>
    <definedName name="L_KEYWORD_ISSR_208007774_Issuer_Name">#REF!</definedName>
    <definedName name="L_KEYWORD_ISSR_208007774_LATAM_ASS">#REF!</definedName>
    <definedName name="L_KEYWORD_ISSR_208007774_LATAM_OP">#REF!</definedName>
    <definedName name="L_KEYWORD_ISSR_208007774_LATAM_SALES">#REF!</definedName>
    <definedName name="L_KEYWORD_ISSR_208007774_LEASE_PAY">#REF!</definedName>
    <definedName name="L_KEYWORD_ISSR_208007774_LIFE_INC">#REF!</definedName>
    <definedName name="L_KEYWORD_ISSR_208007774_LIFE_POLICY_ASS">#REF!</definedName>
    <definedName name="L_KEYWORD_ISSR_208007774_LIFE_POLICY_LIABS">#REF!</definedName>
    <definedName name="L_KEYWORD_ISSR_208007774_LIFE_SHARE">#REF!</definedName>
    <definedName name="L_KEYWORD_ISSR_208007774_MA_PROB">#REF!</definedName>
    <definedName name="L_KEYWORD_ISSR_208007774_MINOR_EQUITY_BS">#REF!</definedName>
    <definedName name="L_KEYWORD_ISSR_208007774_MINORITIES">#REF!</definedName>
    <definedName name="L_KEYWORD_ISSR_208007774_MV_ASSOCIATES">#REF!</definedName>
    <definedName name="L_KEYWORD_ISSR_208007774_NAM_ASS">#REF!</definedName>
    <definedName name="L_KEYWORD_ISSR_208007774_NAM_OP">#REF!</definedName>
    <definedName name="L_KEYWORD_ISSR_208007774_NAM_SALES">#REF!</definedName>
    <definedName name="L_KEYWORD_ISSR_208007774_NET_FEE">#REF!</definedName>
    <definedName name="L_KEYWORD_ISSR_208007774_NET_FIX_ASS">#REF!</definedName>
    <definedName name="L_KEYWORD_ISSR_208007774_NET_INTANG">#REF!</definedName>
    <definedName name="L_KEYWORD_ISSR_208007774_NET_OP_PROF">#REF!</definedName>
    <definedName name="L_KEYWORD_ISSR_208007774_NETCHGOFF_BS">#REF!</definedName>
    <definedName name="L_KEYWORD_ISSR_208007774_NON_INT_INC">#REF!</definedName>
    <definedName name="L_KEYWORD_ISSR_208007774_OP_COST">#REF!</definedName>
    <definedName name="L_KEYWORD_ISSR_208007774_ORD_SH_FUND">#REF!</definedName>
    <definedName name="L_KEYWORD_ISSR_208007774_OTH_ADMIN">#REF!</definedName>
    <definedName name="L_KEYWORD_ISSR_208007774_OTH_ASS">#REF!</definedName>
    <definedName name="L_KEYWORD_ISSR_208007774_OTH_ASSET">#REF!</definedName>
    <definedName name="L_KEYWORD_ISSR_208007774_OTH_COST">#REF!</definedName>
    <definedName name="L_KEYWORD_ISSR_208007774_OTH_COST_INC">#REF!</definedName>
    <definedName name="L_KEYWORD_ISSR_208007774_OTH_DACF_ADJ">#REF!</definedName>
    <definedName name="L_KEYWORD_ISSR_208007774_OTH_GCI_ADJ">#REF!</definedName>
    <definedName name="L_KEYWORD_ISSR_208007774_OTH_INC">#REF!</definedName>
    <definedName name="L_KEYWORD_ISSR_208007774_OTH_INTANG">#REF!</definedName>
    <definedName name="L_KEYWORD_ISSR_208007774_OTH_LIABS">#REF!</definedName>
    <definedName name="L_KEYWORD_ISSR_208007774_OTH_NONOP_EXP">#REF!</definedName>
    <definedName name="L_KEYWORD_ISSR_208007774_OTH_NONOP_INC">#REF!</definedName>
    <definedName name="L_KEYWORD_ISSR_208007774_OTH_OP">#REF!</definedName>
    <definedName name="L_KEYWORD_ISSR_208007774_OTH_PAY_LIABS">#REF!</definedName>
    <definedName name="L_KEYWORD_ISSR_208007774_OTH_PROVS">#REF!</definedName>
    <definedName name="L_KEYWORD_ISSR_208007774_OTH_SALES">#REF!</definedName>
    <definedName name="L_KEYWORD_ISSR_208007774_PCT_ASIA_ASS">#REF!</definedName>
    <definedName name="L_KEYWORD_ISSR_208007774_PCT_ASIA_OP">#REF!</definedName>
    <definedName name="L_KEYWORD_ISSR_208007774_PCT_ASIA_SALES">#REF!</definedName>
    <definedName name="L_KEYWORD_ISSR_208007774_PCT_DOM_ASS">#REF!</definedName>
    <definedName name="L_KEYWORD_ISSR_208007774_PCT_DOM_OP">#REF!</definedName>
    <definedName name="L_KEYWORD_ISSR_208007774_PCT_DOM_SALES">#REF!</definedName>
    <definedName name="L_KEYWORD_ISSR_208007774_PCT_EMER_ASS">#REF!</definedName>
    <definedName name="L_KEYWORD_ISSR_208007774_PCT_EMER_OP">#REF!</definedName>
    <definedName name="L_KEYWORD_ISSR_208007774_PCT_EMER_SALES">#REF!</definedName>
    <definedName name="L_KEYWORD_ISSR_208007774_PCT_EURO_ASS">#REF!</definedName>
    <definedName name="L_KEYWORD_ISSR_208007774_PCT_EURO_OP">#REF!</definedName>
    <definedName name="L_KEYWORD_ISSR_208007774_PCT_EURO_SALES">#REF!</definedName>
    <definedName name="L_KEYWORD_ISSR_208007774_PCT_LATAM_ASS">#REF!</definedName>
    <definedName name="L_KEYWORD_ISSR_208007774_PCT_LATAM_OP">#REF!</definedName>
    <definedName name="L_KEYWORD_ISSR_208007774_PCT_LATAM_SALES">#REF!</definedName>
    <definedName name="L_KEYWORD_ISSR_208007774_PCT_NAM_ASS">#REF!</definedName>
    <definedName name="L_KEYWORD_ISSR_208007774_PCT_NAM_OP">#REF!</definedName>
    <definedName name="L_KEYWORD_ISSR_208007774_PCT_NAM_SALES">#REF!</definedName>
    <definedName name="L_KEYWORD_ISSR_208007774_PCT_OTH_ASS">#REF!</definedName>
    <definedName name="L_KEYWORD_ISSR_208007774_PCT_OTH_OP">#REF!</definedName>
    <definedName name="L_KEYWORD_ISSR_208007774_PCT_OTH_SALES">#REF!</definedName>
    <definedName name="L_KEYWORD_ISSR_208007774_PERIOD_MILESTONE">#REF!</definedName>
    <definedName name="L_KEYWORD_ISSR_208007774_PERSONNEL">#REF!</definedName>
    <definedName name="L_KEYWORD_ISSR_208007774_PRE_PAYMNTS">#REF!</definedName>
    <definedName name="L_KEYWORD_ISSR_208007774_PREF_SHARE_CAP">#REF!</definedName>
    <definedName name="L_KEYWORD_ISSR_208007774_PROF_BTE">#REF!</definedName>
    <definedName name="L_KEYWORD_ISSR_208007774_PROFIT_ON_DISP">#REF!</definedName>
    <definedName name="L_KEYWORD_ISSR_208007774_PROV_BS">#REF!</definedName>
    <definedName name="L_KEYWORD_ISSR_208007774_PT_PROF">#REF!</definedName>
    <definedName name="L_KEYWORD_ISSR_208007774_RECOVERIES_BS">#REF!</definedName>
    <definedName name="L_KEYWORD_ISSR_208007774_REV_FIN_SEGMENT">#REF!</definedName>
    <definedName name="L_KEYWORD_ISSR_208007774_SALES">#REF!</definedName>
    <definedName name="L_KEYWORD_ISSR_208007774_SALES_ARGENTINA">#REF!</definedName>
    <definedName name="L_KEYWORD_ISSR_208007774_SALES_BRAZIL">#REF!</definedName>
    <definedName name="L_KEYWORD_ISSR_208007774_SALES_CANADA">#REF!</definedName>
    <definedName name="L_KEYWORD_ISSR_208007774_SALES_CEE">#REF!</definedName>
    <definedName name="L_KEYWORD_ISSR_208007774_SALES_CHILE">#REF!</definedName>
    <definedName name="L_KEYWORD_ISSR_208007774_SALES_CHINA">#REF!</definedName>
    <definedName name="L_KEYWORD_ISSR_208007774_SALES_COLOMBIA">#REF!</definedName>
    <definedName name="L_KEYWORD_ISSR_208007774_SALES_CONS">#REF!</definedName>
    <definedName name="L_KEYWORD_ISSR_208007774_SALES_EU_EX_UK">#REF!</definedName>
    <definedName name="L_KEYWORD_ISSR_208007774_SALES_FINAN">#REF!</definedName>
    <definedName name="L_KEYWORD_ISSR_208007774_SALES_FX_ARS">#REF!</definedName>
    <definedName name="L_KEYWORD_ISSR_208007774_SALES_FX_BRL">#REF!</definedName>
    <definedName name="L_KEYWORD_ISSR_208007774_SALES_FX_CAD">#REF!</definedName>
    <definedName name="L_KEYWORD_ISSR_208007774_SALES_FX_CLP">#REF!</definedName>
    <definedName name="L_KEYWORD_ISSR_208007774_SALES_FX_CNY">#REF!</definedName>
    <definedName name="L_KEYWORD_ISSR_208007774_SALES_FX_COP">#REF!</definedName>
    <definedName name="L_KEYWORD_ISSR_208007774_SALES_FX_EUR">#REF!</definedName>
    <definedName name="L_KEYWORD_ISSR_208007774_SALES_FX_GPB">#REF!</definedName>
    <definedName name="L_KEYWORD_ISSR_208007774_SALES_FX_INR">#REF!</definedName>
    <definedName name="L_KEYWORD_ISSR_208007774_SALES_FX_MXN">#REF!</definedName>
    <definedName name="L_KEYWORD_ISSR_208007774_SALES_FX_OTH">#REF!</definedName>
    <definedName name="L_KEYWORD_ISSR_208007774_SALES_FX_RUB">#REF!</definedName>
    <definedName name="L_KEYWORD_ISSR_208007774_SALES_FX_USD">#REF!</definedName>
    <definedName name="L_KEYWORD_ISSR_208007774_SALES_FX_VEF">#REF!</definedName>
    <definedName name="L_KEYWORD_ISSR_208007774_SALES_FX_YEN">#REF!</definedName>
    <definedName name="L_KEYWORD_ISSR_208007774_SALES_GOV">#REF!</definedName>
    <definedName name="L_KEYWORD_ISSR_208007774_SALES_IND">#REF!</definedName>
    <definedName name="L_KEYWORD_ISSR_208007774_SALES_INDIA">#REF!</definedName>
    <definedName name="L_KEYWORD_ISSR_208007774_SALES_JAPAN">#REF!</definedName>
    <definedName name="L_KEYWORD_ISSR_208007774_SALES_ME">#REF!</definedName>
    <definedName name="L_KEYWORD_ISSR_208007774_SALES_MEXICO">#REF!</definedName>
    <definedName name="L_KEYWORD_ISSR_208007774_SALES_OTH_AEJ">#REF!</definedName>
    <definedName name="L_KEYWORD_ISSR_208007774_SALES_OTH_AM">#REF!</definedName>
    <definedName name="L_KEYWORD_ISSR_208007774_SALES_OTH_EMEA">#REF!</definedName>
    <definedName name="L_KEYWORD_ISSR_208007774_SALES_OTHER">#REF!</definedName>
    <definedName name="L_KEYWORD_ISSR_208007774_SALES_RUSSIA">#REF!</definedName>
    <definedName name="L_KEYWORD_ISSR_208007774_SALES_SMB">#REF!</definedName>
    <definedName name="L_KEYWORD_ISSR_208007774_SALES_TOT_AFRICA">#REF!</definedName>
    <definedName name="L_KEYWORD_ISSR_208007774_SALES_TOT_AM">#REF!</definedName>
    <definedName name="L_KEYWORD_ISSR_208007774_SALES_TOT_ASIA">#REF!</definedName>
    <definedName name="L_KEYWORD_ISSR_208007774_SALES_TOT_EMEA">#REF!</definedName>
    <definedName name="L_KEYWORD_ISSR_208007774_SALES_UK">#REF!</definedName>
    <definedName name="L_KEYWORD_ISSR_208007774_SALES_US">#REF!</definedName>
    <definedName name="L_KEYWORD_ISSR_208007774_SALES_VENEZUELA">#REF!</definedName>
    <definedName name="L_KEYWORD_ISSR_208007774_SUB_ORD_LIABS">#REF!</definedName>
    <definedName name="L_KEYWORD_ISSR_208007774_TOT_ASS">#REF!</definedName>
    <definedName name="L_KEYWORD_ISSR_208007774_TOT_ASSET">#REF!</definedName>
    <definedName name="L_KEYWORD_ISSR_208007774_TOT_EXCEPTS">#REF!</definedName>
    <definedName name="L_KEYWORD_ISSR_208007774_TOT_LIAB">#REF!</definedName>
    <definedName name="L_KEYWORD_ISSR_208007774_TOT_LIAB_EQ">#REF!</definedName>
    <definedName name="L_KEYWORD_ISSR_208007774_TOT_OP">#REF!</definedName>
    <definedName name="L_KEYWORD_ISSR_208007774_TOT_PROVS">#REF!</definedName>
    <definedName name="L_KEYWORD_ISSR_208007774_TOT_SALES">#REF!</definedName>
    <definedName name="L_KEYWORD_ISSR_208007774_UNF_PENS">#REF!</definedName>
    <definedName name="L_KEYWORD_ISSR_208007774_UNF_PENS_LIAB_OTH">#REF!</definedName>
    <definedName name="L_KEYWORD_ISSR_208007774_UNF_PENS_OFF">#REF!</definedName>
    <definedName name="L_KEYWORD_ISSR_208007774_WRITE_OFFS_BS">#REF!</definedName>
    <definedName name="L_KEYWORD_ISSR_208007774_WTD_AVG_ASSET">#REF!</definedName>
    <definedName name="L_KEYWORD_ISSR_208007774_WTD_AVG_EQ">#REF!</definedName>
    <definedName name="L_LIVEDATA_EQTY_200010048">#REF!</definedName>
    <definedName name="L_LIVEDATA_ISSR_208007774">#REF!</definedName>
    <definedName name="L_PERIOD_1998">#REF!</definedName>
    <definedName name="L_PERIOD_1999">#REF!</definedName>
    <definedName name="L_PERIOD_2000">#REF!</definedName>
    <definedName name="L_PERIOD_2001">#REF!</definedName>
    <definedName name="L_PERIOD_2002">#REF!</definedName>
    <definedName name="L_PERIOD_2003">#REF!</definedName>
    <definedName name="L_PERIOD_2004">#REF!</definedName>
    <definedName name="L_PERIOD_2004_Q1">#REF!</definedName>
    <definedName name="L_PERIOD_2004_Q2">#REF!</definedName>
    <definedName name="L_PERIOD_2004_Q3">#REF!</definedName>
    <definedName name="L_PERIOD_2004_Q4">#REF!</definedName>
    <definedName name="L_PERIOD_2005">#REF!</definedName>
    <definedName name="L_PERIOD_2005_Q1">#REF!</definedName>
    <definedName name="L_PERIOD_2005_Q2">#REF!</definedName>
    <definedName name="L_PERIOD_2005_Q3">#REF!</definedName>
    <definedName name="L_PERIOD_2005_Q4">#REF!</definedName>
    <definedName name="L_PERIOD_2006">#REF!</definedName>
    <definedName name="L_PERIOD_2006_Q1">#REF!</definedName>
    <definedName name="L_PERIOD_2006_Q2">#REF!</definedName>
    <definedName name="L_PERIOD_2006_Q3">#REF!</definedName>
    <definedName name="L_PERIOD_2006_Q4">#REF!</definedName>
    <definedName name="L_PERIOD_2007">#REF!</definedName>
    <definedName name="L_PERIOD_2007_Q1">#REF!</definedName>
    <definedName name="L_PERIOD_2007_Q2">#REF!</definedName>
    <definedName name="L_PERIOD_2007_Q3">#REF!</definedName>
    <definedName name="L_PERIOD_2007_Q4">#REF!</definedName>
    <definedName name="L_PERIOD_2008">#REF!</definedName>
    <definedName name="L_PERIOD_2008_Q1">#REF!</definedName>
    <definedName name="L_PERIOD_2008_Q2">#REF!</definedName>
    <definedName name="L_PERIOD_2008_Q3">#REF!</definedName>
    <definedName name="L_PERIOD_2008_Q4">#REF!</definedName>
    <definedName name="L_PERIOD_2009">#REF!</definedName>
    <definedName name="L_PERIOD_2009_Q1">#REF!</definedName>
    <definedName name="L_PERIOD_2009_Q2">#REF!</definedName>
    <definedName name="L_PERIOD_2009_Q3">#REF!</definedName>
    <definedName name="L_PERIOD_2009_Q4">#REF!</definedName>
    <definedName name="L_PERIOD_2010">#REF!</definedName>
    <definedName name="L_PERIOD_2010_Q1">#REF!</definedName>
    <definedName name="L_PERIOD_2010_Q2">#REF!</definedName>
    <definedName name="L_PERIOD_2010_Q3">#REF!</definedName>
    <definedName name="L_PERIOD_2010_Q4">#REF!</definedName>
    <definedName name="L_PERIOD_2011">#REF!</definedName>
    <definedName name="L_PERIOD_2011_Q1">#REF!</definedName>
    <definedName name="L_PERIOD_2011_Q2">#REF!</definedName>
    <definedName name="L_PERIOD_2011_Q3">#REF!</definedName>
    <definedName name="L_PERIOD_2011_Q4">#REF!</definedName>
    <definedName name="L_PERIOD_2012">#REF!</definedName>
    <definedName name="L_PERIOD_2012_Q1">#REF!</definedName>
    <definedName name="L_PERIOD_2012_Q2">#REF!</definedName>
    <definedName name="L_PERIOD_2012_Q3">#REF!</definedName>
    <definedName name="L_PERIOD_2012_Q4">#REF!</definedName>
    <definedName name="L_PERIOD_2013">#REF!</definedName>
    <definedName name="L_PERIOD_2013_Q1">#REF!</definedName>
    <definedName name="L_PERIOD_2013_Q2">#REF!</definedName>
    <definedName name="L_PERIOD_2013_Q3">#REF!</definedName>
    <definedName name="L_PERIOD_2013_Q4">#REF!</definedName>
    <definedName name="L_PERIOD_2014">#REF!</definedName>
    <definedName name="L_PERIOD_2014_Q1">#REF!</definedName>
    <definedName name="L_PERIOD_2014_Q2">#REF!</definedName>
    <definedName name="L_PERIOD_2014_Q3">#REF!</definedName>
    <definedName name="L_PERIOD_2014_Q4">#REF!</definedName>
    <definedName name="L_PERIOD_2015">#REF!</definedName>
    <definedName name="L_PERIOD_2016">#REF!</definedName>
    <definedName name="L_PERIOD_2017">#REF!</definedName>
    <definedName name="L_PERIOD_2018">#REF!</definedName>
    <definedName name="L_SECTION_EQTY_200010048_1314">#REF!</definedName>
    <definedName name="L_SECTION_EQTY_200010048_1319">#REF!</definedName>
    <definedName name="L_SECTION_EQTY_200010048_131O">#REF!</definedName>
    <definedName name="L_SECTION_EQTY_200010048_13A">#REF!</definedName>
    <definedName name="L_SECTION_EQTY_200010048_13K">#REF!</definedName>
    <definedName name="L_SECTION_EQTY_200010048_13U">#REF!</definedName>
    <definedName name="L_SECTION_EQTY_200010048_13V">#REF!</definedName>
    <definedName name="L_SECTION_EQTY_200010048_13W">#REF!</definedName>
    <definedName name="L_SECTION_EQTY_200010048_Reference_Data">#REF!</definedName>
    <definedName name="L_SECTION_ISSR_208007774_1314">#REF!</definedName>
    <definedName name="L_SECTION_ISSR_208007774_13168">#REF!</definedName>
    <definedName name="L_SECTION_ISSR_208007774_1316U">#REF!</definedName>
    <definedName name="L_SECTION_ISSR_208007774_1319">#REF!</definedName>
    <definedName name="L_SECTION_ISSR_208007774_131E">#REF!</definedName>
    <definedName name="L_SECTION_ISSR_208007774_131J">#REF!</definedName>
    <definedName name="L_SECTION_ISSR_208007774_131O">#REF!</definedName>
    <definedName name="L_SECTION_ISSR_208007774_133M">#REF!</definedName>
    <definedName name="L_SECTION_ISSR_208007774_133R">#REF!</definedName>
    <definedName name="L_SECTION_ISSR_208007774_133W">#REF!</definedName>
    <definedName name="L_SECTION_ISSR_208007774_1341">#REF!</definedName>
    <definedName name="L_SECTION_ISSR_208007774_1346">#REF!</definedName>
    <definedName name="L_SECTION_ISSR_208007774_134B">#REF!</definedName>
    <definedName name="L_SECTION_ISSR_208007774_134G">#REF!</definedName>
    <definedName name="L_SECTION_ISSR_208007774_134L">#REF!</definedName>
    <definedName name="L_SECTION_ISSR_208007774_134Q">#REF!</definedName>
    <definedName name="L_SECTION_ISSR_208007774_134V">#REF!</definedName>
    <definedName name="L_SECTION_ISSR_208007774_13A">#REF!</definedName>
    <definedName name="L_SECTION_ISSR_208007774_13U">#REF!</definedName>
    <definedName name="L_SECTION_ISSR_208007774_13V">#REF!</definedName>
    <definedName name="L_SECTION_ISSR_208007774_Reference_Data">#REF!</definedName>
    <definedName name="Net_Income_Adj_Earnings_PreAbnormal_Goodwill_Amort" localSheetId="6">#REF!</definedName>
    <definedName name="Net_Income_Adj_Earnings_PreAbnormal_Goodwill_Amort" localSheetId="4">#REF!</definedName>
    <definedName name="NvsASD">"V2004-08-31"</definedName>
    <definedName name="NvsAutoDrillOk">"VN"</definedName>
    <definedName name="NvsElapsedTime">0.000153587963723112</definedName>
    <definedName name="NvsEndTime">38236.6823737268</definedName>
    <definedName name="NvsInstSpec">"%"</definedName>
    <definedName name="NvsLayoutType">"M3"</definedName>
    <definedName name="NvsPanelEffdt">"V2003-01-01"</definedName>
    <definedName name="NvsPanelSetid">"VSG"</definedName>
    <definedName name="NvsReqBU">"VBV"</definedName>
    <definedName name="NvsReqBUOnly">"VY"</definedName>
    <definedName name="NvsTransLed">"VN"</definedName>
    <definedName name="NvsTreeASD">"V2003-01-01"</definedName>
    <definedName name="NvsValTbl.ACCOUNT">"GL_ACCOUNT_TBL"</definedName>
    <definedName name="Operating_Income_Division_1" localSheetId="6">#REF!</definedName>
    <definedName name="Operating_Income_Division_1" localSheetId="4">#REF!</definedName>
    <definedName name="Operating_Income_Division_2" localSheetId="6">#REF!</definedName>
    <definedName name="Operating_Income_Division_2" localSheetId="4">#REF!</definedName>
    <definedName name="Operating_Income_Division_3" localSheetId="6">#REF!</definedName>
    <definedName name="Operating_Income_Division_3" localSheetId="4">#REF!</definedName>
    <definedName name="Operating_Income_Division_4" localSheetId="6">#REF!</definedName>
    <definedName name="Operating_Income_Division_4" localSheetId="4">#REF!</definedName>
    <definedName name="Operating_Income_Division_5" localSheetId="6">#REF!</definedName>
    <definedName name="Operating_Income_Division_5" localSheetId="4">#REF!</definedName>
    <definedName name="Operating_Income_Division_6" localSheetId="6">#REF!</definedName>
    <definedName name="Operating_Income_Division_6" localSheetId="4">#REF!</definedName>
    <definedName name="Other_Item_1" localSheetId="6">#REF!</definedName>
    <definedName name="Other_Item_1" localSheetId="4">#REF!</definedName>
    <definedName name="Other_Item_10" localSheetId="6">#REF!</definedName>
    <definedName name="Other_Item_10" localSheetId="4">#REF!</definedName>
    <definedName name="Other_Item_11" localSheetId="6">#REF!</definedName>
    <definedName name="Other_Item_11" localSheetId="4">#REF!</definedName>
    <definedName name="Other_Item_12" localSheetId="6">#REF!</definedName>
    <definedName name="Other_Item_12" localSheetId="4">#REF!</definedName>
    <definedName name="Other_Item_13" localSheetId="6">#REF!</definedName>
    <definedName name="Other_Item_13" localSheetId="4">#REF!</definedName>
    <definedName name="Other_Item_14" localSheetId="6">#REF!</definedName>
    <definedName name="Other_Item_14" localSheetId="4">#REF!</definedName>
    <definedName name="Other_Item_15" localSheetId="6">#REF!</definedName>
    <definedName name="Other_Item_15" localSheetId="4">#REF!</definedName>
    <definedName name="Other_Item_16" localSheetId="6">#REF!</definedName>
    <definedName name="Other_Item_16" localSheetId="4">#REF!</definedName>
    <definedName name="Other_Item_2" localSheetId="6">#REF!</definedName>
    <definedName name="Other_Item_2" localSheetId="4">#REF!</definedName>
    <definedName name="Other_Item_3" localSheetId="6">#REF!</definedName>
    <definedName name="Other_Item_3" localSheetId="4">#REF!</definedName>
    <definedName name="Other_Item_4" localSheetId="6">#REF!</definedName>
    <definedName name="Other_Item_4" localSheetId="4">#REF!</definedName>
    <definedName name="Other_Item_5" localSheetId="6">#REF!</definedName>
    <definedName name="Other_Item_5" localSheetId="4">#REF!</definedName>
    <definedName name="Other_Item_6" localSheetId="6">#REF!</definedName>
    <definedName name="Other_Item_6" localSheetId="4">#REF!</definedName>
    <definedName name="Other_Item_7" localSheetId="6">#REF!</definedName>
    <definedName name="Other_Item_7" localSheetId="4">#REF!</definedName>
    <definedName name="Other_Item_8" localSheetId="6">#REF!</definedName>
    <definedName name="Other_Item_8" localSheetId="4">#REF!</definedName>
    <definedName name="Other_Item_9" localSheetId="6">#REF!</definedName>
    <definedName name="Other_Item_9" localSheetId="4">#REF!</definedName>
    <definedName name="Pre_Tax_Income" localSheetId="6">#REF!</definedName>
    <definedName name="Pre_Tax_Income" localSheetId="4">#REF!</definedName>
    <definedName name="PresentationNormalA4" localSheetId="6">#REF!</definedName>
    <definedName name="PresentationNormalA4" localSheetId="4">#REF!</definedName>
    <definedName name="PreTax_Income_Adj" localSheetId="6">#REF!</definedName>
    <definedName name="PreTax_Income_Adj" localSheetId="4">#REF!</definedName>
    <definedName name="Q1.2008.03" localSheetId="6">#REF!</definedName>
    <definedName name="Q1.2008.03" localSheetId="4">#REF!</definedName>
    <definedName name="Q2.2008.06" localSheetId="6">#REF!</definedName>
    <definedName name="Q2.2008.06" localSheetId="4">#REF!</definedName>
    <definedName name="Q3.2008.09" localSheetId="6">#REF!</definedName>
    <definedName name="Q3.2008.09" localSheetId="4">#REF!</definedName>
    <definedName name="Q4.2008.12" localSheetId="6">#REF!</definedName>
    <definedName name="Q4.2008.12" localSheetId="4">#REF!</definedName>
    <definedName name="Reported_Net_Income" localSheetId="6">#REF!</definedName>
    <definedName name="Reported_Net_Income" localSheetId="4">#REF!</definedName>
    <definedName name="Revenues_Division_1" localSheetId="6">#REF!</definedName>
    <definedName name="Revenues_Division_1" localSheetId="4">#REF!</definedName>
    <definedName name="Revenues_Division_2" localSheetId="6">#REF!</definedName>
    <definedName name="Revenues_Division_2" localSheetId="4">#REF!</definedName>
    <definedName name="Revenues_Division_3" localSheetId="6">#REF!</definedName>
    <definedName name="Revenues_Division_3" localSheetId="4">#REF!</definedName>
    <definedName name="Revenues_Division_4" localSheetId="6">#REF!</definedName>
    <definedName name="Revenues_Division_4" localSheetId="4">#REF!</definedName>
    <definedName name="Revenues_Division_5" localSheetId="6">#REF!</definedName>
    <definedName name="Revenues_Division_5" localSheetId="4">#REF!</definedName>
    <definedName name="Revenues_Division_6" localSheetId="6">#REF!</definedName>
    <definedName name="Revenues_Division_6" localSheetId="4">#REF!</definedName>
    <definedName name="Tax_Paid" localSheetId="6">#REF!</definedName>
    <definedName name="Tax_Paid" localSheetId="4">#REF!</definedName>
    <definedName name="Tigr_Exhibit58c00926_034a_412e_8530_4a5c17ce5b8d" hidden="1">Summary!$A$15:$P$80</definedName>
    <definedName name="Tigr_Exhibit78d71e28_6a42_4be7_a010_a6c6c2461677" hidden="1">Summary!$A$82:$P$147</definedName>
    <definedName name="Tigr_Exhibit988656d8_5ddf_42d8_9b83_fe03e406d21f" hidden="1">Summary!$A$82:$P$124</definedName>
    <definedName name="Tigr_Exhibitb2f9a7d9_6686_4f99_883a_baab16b4e913" hidden="1">'DDM US$'!$B$7:$M$33</definedName>
    <definedName name="Tigr_Exhibitce0f2f99_43c0_4135_bcf5_1489c3967cac" hidden="1">'DDM US$'!$B$7:$M$32</definedName>
    <definedName name="Tigr_Exhibitd4b7ae97_f292_47cf_9725_cfbd84c2ae1b" hidden="1">'DDM US$'!$B$7:$L$33</definedName>
    <definedName name="Tigr_Exhibite6ccd383_a091_4a6d_8540_032fc49300ab" hidden="1">Summary!$A$15:$P$64</definedName>
    <definedName name="V_ALL_BAP">#REF!</definedName>
    <definedName name="V_ALL_BAP_">#REF!</definedName>
    <definedName name="V_ALL_KEYWORDS_TYPE_ScalarContributed_EQTY_200010048">#REF!,#REF!,#REF!,#REF!,#REF!,#REF!</definedName>
    <definedName name="V_ALL_KEYWORDS_TYPE_ScalarReference_EQTY_200010048">#REF!</definedName>
    <definedName name="V_ALL_KEYWORDS_TYPE_ScalarReference_ISSR_208007774">#REF!</definedName>
    <definedName name="V_ALL_KEYWORDS_TYPE_Vector_EQTY_200010048">#REF!,#REF!,#REF!,#REF!,#REF!,#REF!,#REF!</definedName>
    <definedName name="V_ALL_KEYWORDS_TYPE_Vector_ISSR_208007774">#REF!,#REF!,#REF!,#REF!,#REF!,#REF!,#REF!,#REF!,#REF!,#REF!,#REF!,#REF!,#REF!,#REF!,#REF!,#REF!,#REF!,#REF!,#REF!,#REF!,#REF!,#REF!,#REF!,#REF!,#REF!</definedName>
    <definedName name="V_ALL_SECTION_KEYWORDS_EQTY_200010048_1314">#REF!</definedName>
    <definedName name="V_ALL_SECTION_KEYWORDS_EQTY_200010048_1319">#REF!</definedName>
    <definedName name="V_ALL_SECTION_KEYWORDS_EQTY_200010048_131O">#REF!</definedName>
    <definedName name="V_ALL_SECTION_KEYWORDS_EQTY_200010048_13A">#REF!</definedName>
    <definedName name="V_ALL_SECTION_KEYWORDS_EQTY_200010048_13K">#REF!</definedName>
    <definedName name="V_ALL_SECTION_KEYWORDS_EQTY_200010048_13U">#REF!</definedName>
    <definedName name="V_ALL_SECTION_KEYWORDS_EQTY_200010048_13V">#REF!</definedName>
    <definedName name="V_ALL_SECTION_KEYWORDS_EQTY_200010048_13W">#REF!</definedName>
    <definedName name="V_ALL_SECTION_KEYWORDS_EQTY_200010048_Reference_Data">#REF!</definedName>
    <definedName name="V_ALL_SECTION_KEYWORDS_ISSR_208007774_1314">#REF!</definedName>
    <definedName name="V_ALL_SECTION_KEYWORDS_ISSR_208007774_13168">#REF!</definedName>
    <definedName name="V_ALL_SECTION_KEYWORDS_ISSR_208007774_1316U">#REF!</definedName>
    <definedName name="V_ALL_SECTION_KEYWORDS_ISSR_208007774_1319">#REF!</definedName>
    <definedName name="V_ALL_SECTION_KEYWORDS_ISSR_208007774_131E">#REF!</definedName>
    <definedName name="V_ALL_SECTION_KEYWORDS_ISSR_208007774_131J">#REF!</definedName>
    <definedName name="V_ALL_SECTION_KEYWORDS_ISSR_208007774_131O">#REF!</definedName>
    <definedName name="V_ALL_SECTION_KEYWORDS_ISSR_208007774_133M">#REF!</definedName>
    <definedName name="V_ALL_SECTION_KEYWORDS_ISSR_208007774_133R">#REF!</definedName>
    <definedName name="V_ALL_SECTION_KEYWORDS_ISSR_208007774_133W">#REF!</definedName>
    <definedName name="V_ALL_SECTION_KEYWORDS_ISSR_208007774_1341">#REF!</definedName>
    <definedName name="V_ALL_SECTION_KEYWORDS_ISSR_208007774_1346">#REF!</definedName>
    <definedName name="V_ALL_SECTION_KEYWORDS_ISSR_208007774_134B">#REF!</definedName>
    <definedName name="V_ALL_SECTION_KEYWORDS_ISSR_208007774_134G">#REF!</definedName>
    <definedName name="V_ALL_SECTION_KEYWORDS_ISSR_208007774_134L">#REF!</definedName>
    <definedName name="V_ALL_SECTION_KEYWORDS_ISSR_208007774_134Q">#REF!</definedName>
    <definedName name="V_ALL_SECTION_KEYWORDS_ISSR_208007774_134V">#REF!</definedName>
    <definedName name="V_ALL_SECTION_KEYWORDS_ISSR_208007774_136J">#REF!</definedName>
    <definedName name="V_ALL_SECTION_KEYWORDS_ISSR_208007774_13A">#REF!</definedName>
    <definedName name="V_ALL_SECTION_KEYWORDS_ISSR_208007774_13U">#REF!</definedName>
    <definedName name="V_ALL_SECTION_KEYWORDS_ISSR_208007774_13V">#REF!</definedName>
    <definedName name="V_ALL_SECTION_KEYWORDS_ISSR_208007774_Reference_Data">#REF!</definedName>
    <definedName name="V_ALL_SECTIONS_EQTY_200010048">#REF!,#REF!,#REF!,#REF!,#REF!,#REF!,#REF!,#REF!,#REF!</definedName>
    <definedName name="V_ALL_SECTIONS_ISSR_208007774">#REF!,#REF!,#REF!,#REF!,#REF!,#REF!,#REF!,#REF!,#REF!,#REF!,#REF!,#REF!,#REF!,#REF!,#REF!,#REF!,#REF!,#REF!,#REF!,#REF!,#REF!</definedName>
    <definedName name="V_CURRENCY_EQTY_200010048_PRI">#REF!</definedName>
    <definedName name="V_CURRENCY_EQTY_200010048_PUB">#REF!</definedName>
    <definedName name="V_CURRENCY_EQTY_200010048_REP">#REF!</definedName>
    <definedName name="V_CURRENCY_ISSR_208007774_REP">#REF!</definedName>
    <definedName name="V_KEYWORD_EQTY_200010048_AMER_CONVICTION">#REF!</definedName>
    <definedName name="V_KEYWORD_EQTY_200010048_AMER_LIST">#REF!</definedName>
    <definedName name="V_KEYWORD_EQTY_200010048_B_BS_L_GSEQUITY">#REF!</definedName>
    <definedName name="V_KEYWORD_EQTY_200010048_B_PL_GSBVPS">#REF!</definedName>
    <definedName name="V_KEYWORD_EQTY_200010048_B_PL_GSEPS">#REF!</definedName>
    <definedName name="V_KEYWORD_EQTY_200010048_B_PL_GSINCOME">#REF!</definedName>
    <definedName name="V_KEYWORD_EQTY_200010048_B_PL_PTASSOC">#REF!</definedName>
    <definedName name="V_KEYWORD_EQTY_200010048_BETA_ANALYST">#REF!</definedName>
    <definedName name="V_KEYWORD_EQTY_200010048_BVPS">#REF!</definedName>
    <definedName name="V_KEYWORD_EQTY_200010048_BVPS_PUB">#REF!</definedName>
    <definedName name="V_KEYWORD_EQTY_200010048_COE">#REF!</definedName>
    <definedName name="V_KEYWORD_EQTY_200010048_COMMON_DIV_PAID">#REF!</definedName>
    <definedName name="V_KEYWORD_EQTY_200010048_CURRENCY_ISO">#REF!</definedName>
    <definedName name="V_KEYWORD_EQTY_200010048_DILUTE_NI_IMPAC">#REF!</definedName>
    <definedName name="V_KEYWORD_EQTY_200010048_DILUTE_SHARES">#REF!</definedName>
    <definedName name="V_KEYWORD_EQTY_200010048_DPS">#REF!</definedName>
    <definedName name="V_KEYWORD_EQTY_200010048_DPS_PUB">#REF!</definedName>
    <definedName name="V_KEYWORD_EQTY_200010048_EBIT_PUB">#REF!</definedName>
    <definedName name="V_KEYWORD_EQTY_200010048_EBITDA_PUB">#REF!</definedName>
    <definedName name="V_KEYWORD_EQTY_200010048_EPS">#REF!</definedName>
    <definedName name="V_KEYWORD_EQTY_200010048_EPS_EX_ESO_B">#REF!</definedName>
    <definedName name="V_KEYWORD_EQTY_200010048_EPS_EX_ESO_D">#REF!</definedName>
    <definedName name="V_KEYWORD_EQTY_200010048_EPS_PUB">#REF!</definedName>
    <definedName name="V_KEYWORD_EQTY_200010048_EPS_PUB_EX_ESO">#REF!</definedName>
    <definedName name="V_KEYWORD_EQTY_200010048_EQ_PUB">#REF!</definedName>
    <definedName name="V_KEYWORD_EQTY_200010048_ESO_POST_TAX">#REF!</definedName>
    <definedName name="V_KEYWORD_EQTY_200010048_ESO_YEAR">#REF!</definedName>
    <definedName name="V_KEYWORD_EQTY_200010048_EV_ADJ_PUB">#REF!</definedName>
    <definedName name="V_KEYWORD_EQTY_200010048_FREE_FLOAT">#REF!</definedName>
    <definedName name="V_KEYWORD_EQTY_200010048_FULLY_DIL_EPS">#REF!</definedName>
    <definedName name="V_KEYWORD_EQTY_200010048_FV_GRANT">#REF!</definedName>
    <definedName name="V_KEYWORD_EQTY_200010048_INC_MINORITY">#REF!</definedName>
    <definedName name="V_KEYWORD_EQTY_200010048_Interim_Type">#REF!</definedName>
    <definedName name="V_KEYWORD_EQTY_200010048_LEGAL_RATING">#REF!</definedName>
    <definedName name="V_KEYWORD_EQTY_200010048_MARGIN_TAX_RATE">#REF!</definedName>
    <definedName name="V_KEYWORD_EQTY_200010048_MINOR_EQUITY">#REF!</definedName>
    <definedName name="V_KEYWORD_EQTY_200010048_MINOR_NON_EQUITY">#REF!</definedName>
    <definedName name="V_KEYWORD_EQTY_200010048_MKT_EQ_RISK_PREM">#REF!</definedName>
    <definedName name="V_KEYWORD_EQTY_200010048_NET_DEBT_PUB">#REF!</definedName>
    <definedName name="V_KEYWORD_EQTY_200010048_NET_EARNING">#REF!</definedName>
    <definedName name="V_KEYWORD_EQTY_200010048_NET_INC">#REF!</definedName>
    <definedName name="V_KEYWORD_EQTY_200010048_NI_PUB">#REF!</definedName>
    <definedName name="V_KEYWORD_EQTY_200010048_NON_OP_ADD">#REF!</definedName>
    <definedName name="V_KEYWORD_EQTY_200010048_NUM_SH">#REF!</definedName>
    <definedName name="V_KEYWORD_EQTY_200010048_PRICE_CURRENCY_ISO">#REF!</definedName>
    <definedName name="V_KEYWORD_EQTY_200010048_PROF_AT">#REF!</definedName>
    <definedName name="V_KEYWORD_EQTY_200010048_PROV_INC_TAX">#REF!</definedName>
    <definedName name="V_KEYWORD_EQTY_200010048_PTP_PUB">#REF!</definedName>
    <definedName name="V_KEYWORD_EQTY_200010048_PUB_CURRENCY_ISO">#REF!</definedName>
    <definedName name="V_KEYWORD_EQTY_200010048_REPUR_ACTUAL">#REF!</definedName>
    <definedName name="V_KEYWORD_EQTY_200010048_REPUR_REMAINING">#REF!</definedName>
    <definedName name="V_KEYWORD_EQTY_200010048_REPUR_SUSPENDED">#REF!</definedName>
    <definedName name="V_KEYWORD_EQTY_200010048_REPUR_TOT_AUTH">#REF!</definedName>
    <definedName name="V_KEYWORD_EQTY_200010048_REVS_PUB">#REF!</definedName>
    <definedName name="V_KEYWORD_EQTY_200010048_RISK_FR_RATE">#REF!</definedName>
    <definedName name="V_KEYWORD_EQTY_200010048_Security_Name">#REF!</definedName>
    <definedName name="V_KEYWORD_EQTY_200010048_SH">#REF!</definedName>
    <definedName name="V_KEYWORD_EQTY_200010048_TANG_BVPS">#REF!</definedName>
    <definedName name="V_KEYWORD_EQTY_200010048_TARGET_PRICE">#REF!</definedName>
    <definedName name="V_KEYWORD_EQTY_200010048_TAX_EXC">#REF!</definedName>
    <definedName name="V_KEYWORD_EQTY_200010048_TBVPS_LAST">#REF!</definedName>
    <definedName name="V_KEYWORD_EQTY_200010048_Ticker">#REF!</definedName>
    <definedName name="V_KEYWORD_EQTY_200010048_TP_PERIOD">#REF!</definedName>
    <definedName name="V_KEYWORD_ISSR_208007774_ACC_END_DATE">#REF!</definedName>
    <definedName name="V_KEYWORD_ISSR_208007774_ACCRUAL">#REF!</definedName>
    <definedName name="V_KEYWORD_ISSR_208007774_ASIA_ASS">#REF!</definedName>
    <definedName name="V_KEYWORD_ISSR_208007774_ASIA_OP">#REF!</definedName>
    <definedName name="V_KEYWORD_ISSR_208007774_ASIA_SALES">#REF!</definedName>
    <definedName name="V_KEYWORD_ISSR_208007774_ASSOCIATE">#REF!</definedName>
    <definedName name="V_KEYWORD_ISSR_208007774_B_ALLOW_LL_PE">#REF!</definedName>
    <definedName name="V_KEYWORD_ISSR_208007774_B_BS_A_DEBTTOT">#REF!</definedName>
    <definedName name="V_KEYWORD_ISSR_208007774_B_BS_A_LNBNK">#REF!</definedName>
    <definedName name="V_KEYWORD_ISSR_208007774_B_BS_A_NETLOANS">#REF!</definedName>
    <definedName name="V_KEYWORD_ISSR_208007774_B_BS_A_OTHINT1">#REF!</definedName>
    <definedName name="V_KEYWORD_ISSR_208007774_B_BS_A_PERIOD">#REF!</definedName>
    <definedName name="V_KEYWORD_ISSR_208007774_B_BS_L_BANKDEP">#REF!</definedName>
    <definedName name="V_KEYWORD_ISSR_208007774_B_BS_L_CUSTDEP">#REF!</definedName>
    <definedName name="V_KEYWORD_ISSR_208007774_B_BS_L_GSTANGEQ">#REF!</definedName>
    <definedName name="V_KEYWORD_ISSR_208007774_B_BS_L_PERIOD">#REF!</definedName>
    <definedName name="V_KEYWORD_ISSR_208007774_B_CA_BISRATIO">#REF!</definedName>
    <definedName name="V_KEYWORD_ISSR_208007774_B_CA_CAPBASE">#REF!</definedName>
    <definedName name="V_KEYWORD_ISSR_208007774_B_CA_PREFCAP">#REF!</definedName>
    <definedName name="V_KEYWORD_ISSR_208007774_B_CA_RWA">#REF!</definedName>
    <definedName name="V_KEYWORD_ISSR_208007774_B_CA_T1CAP">#REF!</definedName>
    <definedName name="V_KEYWORD_ISSR_208007774_B_CA_T1RATIO">#REF!</definedName>
    <definedName name="V_KEYWORD_ISSR_208007774_B_CA_T2CAP">#REF!</definedName>
    <definedName name="V_KEYWORD_ISSR_208007774_B_CA_T2RATIO">#REF!</definedName>
    <definedName name="V_KEYWORD_ISSR_208007774_B_DE_DEMAND">#REF!</definedName>
    <definedName name="V_KEYWORD_ISSR_208007774_B_DE_OTHERS">#REF!</definedName>
    <definedName name="V_KEYWORD_ISSR_208007774_B_DE_TIME">#REF!</definedName>
    <definedName name="V_KEYWORD_ISSR_208007774_B_DE_TOTDEPOSIT">#REF!</definedName>
    <definedName name="V_KEYWORD_ISSR_208007774_B_GAIN_SALE_SEC">#REF!</definedName>
    <definedName name="V_KEYWORD_ISSR_208007774_B_IH_BKVALUE">#REF!</definedName>
    <definedName name="V_KEYWORD_ISSR_208007774_B_IH_MKTVALUE">#REF!</definedName>
    <definedName name="V_KEYWORD_ISSR_208007774_B_IH_PTAXVALUE">#REF!</definedName>
    <definedName name="V_KEYWORD_ISSR_208007774_B_IH_TAX">#REF!</definedName>
    <definedName name="V_KEYWORD_ISSR_208007774_B_IH_UNREALISE">#REF!</definedName>
    <definedName name="V_KEYWORD_ISSR_208007774_B_LB_COMMCL">#REF!</definedName>
    <definedName name="V_KEYWORD_ISSR_208007774_B_LB_CONSTRUCT">#REF!</definedName>
    <definedName name="V_KEYWORD_ISSR_208007774_B_LB_FINANCL">#REF!</definedName>
    <definedName name="V_KEYWORD_ISSR_208007774_B_LB_FINLEASE">#REF!</definedName>
    <definedName name="V_KEYWORD_ISSR_208007774_B_LB_GOVERNMT">#REF!</definedName>
    <definedName name="V_KEYWORD_ISSR_208007774_B_LB_GROSSLOANS">#REF!</definedName>
    <definedName name="V_KEYWORD_ISSR_208007774_B_LB_MORTG">#REF!</definedName>
    <definedName name="V_KEYWORD_ISSR_208007774_B_LB_OTHER">#REF!</definedName>
    <definedName name="V_KEYWORD_ISSR_208007774_B_LB_OTHLEND">#REF!</definedName>
    <definedName name="V_KEYWORD_ISSR_208007774_B_LB_OTHSECURE">#REF!</definedName>
    <definedName name="V_KEYWORD_ISSR_208007774_B_LB_OVSEASLEND">#REF!</definedName>
    <definedName name="V_KEYWORD_ISSR_208007774_B_LB_PERSON">#REF!</definedName>
    <definedName name="V_KEYWORD_ISSR_208007774_B_LB_TOTCORP">#REF!</definedName>
    <definedName name="V_KEYWORD_ISSR_208007774_B_LB_TOTPERSNL">#REF!</definedName>
    <definedName name="V_KEYWORD_ISSR_208007774_B_MA_REPCOSTLIB">#REF!</definedName>
    <definedName name="V_KEYWORD_ISSR_208007774_B_MA_REPGYLD">#REF!</definedName>
    <definedName name="V_KEYWORD_ISSR_208007774_B_MA_REPIMPSPD">#REF!</definedName>
    <definedName name="V_KEYWORD_ISSR_208007774_B_MA_REPINTAST">#REF!</definedName>
    <definedName name="V_KEYWORD_ISSR_208007774_B_MA_REPINTLIB">#REF!</definedName>
    <definedName name="V_KEYWORD_ISSR_208007774_B_MA_REPNIM">#REF!</definedName>
    <definedName name="V_KEYWORD_ISSR_208007774_B_NON_INT_B_DEP">#REF!</definedName>
    <definedName name="V_KEYWORD_ISSR_208007774_B_NONP_L_PE">#REF!</definedName>
    <definedName name="V_KEYWORD_ISSR_208007774_B_NPL_PROBLN">#REF!</definedName>
    <definedName name="V_KEYWORD_ISSR_208007774_B_NPL_TOTNPL">#REF!</definedName>
    <definedName name="V_KEYWORD_ISSR_208007774_B_PL_LOANPRV">#REF!</definedName>
    <definedName name="V_KEYWORD_ISSR_208007774_B_PL_NETINTINC">#REF!</definedName>
    <definedName name="V_KEYWORD_ISSR_208007774_B_PV_GLLRCUST">#REF!</definedName>
    <definedName name="V_KEYWORD_ISSR_208007774_B_PV_SLLRCUST">#REF!</definedName>
    <definedName name="V_KEYWORD_ISSR_208007774_B_PV_TOTLLRCUST">#REF!</definedName>
    <definedName name="V_KEYWORD_ISSR_208007774_B_TOT_ASS_PE">#REF!</definedName>
    <definedName name="V_KEYWORD_ISSR_208007774_B_TOT_LOAN_NET_ALLOW_PE">#REF!</definedName>
    <definedName name="V_KEYWORD_ISSR_208007774_B_TOT_LOAN_PE">#REF!</definedName>
    <definedName name="V_KEYWORD_ISSR_208007774_B_TOT_SH_EQ_PE">#REF!</definedName>
    <definedName name="V_KEYWORD_ISSR_208007774_BAL_MINO_INT">#REF!</definedName>
    <definedName name="V_KEYWORD_ISSR_208007774_BRANCHES">#REF!</definedName>
    <definedName name="V_KEYWORD_ISSR_208007774_CAP_LEASES">#REF!</definedName>
    <definedName name="V_KEYWORD_ISSR_208007774_CASH_EQ">#REF!</definedName>
    <definedName name="V_KEYWORD_ISSR_208007774_CASH_PCT_OS_US">#REF!</definedName>
    <definedName name="V_KEYWORD_ISSR_208007774_COMMITMENTS">#REF!</definedName>
    <definedName name="V_KEYWORD_ISSR_208007774_CONTINGENCIES">#REF!</definedName>
    <definedName name="V_KEYWORD_ISSR_208007774_CURRENCY_ISO">#REF!</definedName>
    <definedName name="V_KEYWORD_ISSR_208007774_DEBT_SECUR">#REF!</definedName>
    <definedName name="V_KEYWORD_ISSR_208007774_DEPREC">#REF!</definedName>
    <definedName name="V_KEYWORD_ISSR_208007774_DIV_PAID">#REF!</definedName>
    <definedName name="V_KEYWORD_ISSR_208007774_DIVID_INC">#REF!</definedName>
    <definedName name="V_KEYWORD_ISSR_208007774_DOM_ASS">#REF!</definedName>
    <definedName name="V_KEYWORD_ISSR_208007774_DOM_OP">#REF!</definedName>
    <definedName name="V_KEYWORD_ISSR_208007774_DOM_SALES">#REF!</definedName>
    <definedName name="V_KEYWORD_ISSR_208007774_EBIT_FIN_SEGMENT">#REF!</definedName>
    <definedName name="V_KEYWORD_ISSR_208007774_EMER_ASS">#REF!</definedName>
    <definedName name="V_KEYWORD_ISSR_208007774_EMER_OP">#REF!</definedName>
    <definedName name="V_KEYWORD_ISSR_208007774_EMER_SALES">#REF!</definedName>
    <definedName name="V_KEYWORD_ISSR_208007774_EMPLOYEES">#REF!</definedName>
    <definedName name="V_KEYWORD_ISSR_208007774_EQ">#REF!</definedName>
    <definedName name="V_KEYWORD_ISSR_208007774_ESO_PRE_TAX">#REF!</definedName>
    <definedName name="V_KEYWORD_ISSR_208007774_EUR_ASS">#REF!</definedName>
    <definedName name="V_KEYWORD_ISSR_208007774_EURO_OP">#REF!</definedName>
    <definedName name="V_KEYWORD_ISSR_208007774_EURO_SALES">#REF!</definedName>
    <definedName name="V_KEYWORD_ISSR_208007774_FIN_TRANS_INC">#REF!</definedName>
    <definedName name="V_KEYWORD_ISSR_208007774_FIX_ASS_INV">#REF!</definedName>
    <definedName name="V_KEYWORD_ISSR_208007774_GEN_INS_INC">#REF!</definedName>
    <definedName name="V_KEYWORD_ISSR_208007774_GOODWILL">#REF!</definedName>
    <definedName name="V_KEYWORD_ISSR_208007774_GOODWILL_AMORT">#REF!</definedName>
    <definedName name="V_KEYWORD_ISSR_208007774_GROSS_OP_PROF">#REF!</definedName>
    <definedName name="V_KEYWORD_ISSR_208007774_INS_CLAIMS">#REF!</definedName>
    <definedName name="V_KEYWORD_ISSR_208007774_INT_EXP">#REF!</definedName>
    <definedName name="V_KEYWORD_ISSR_208007774_INT_INC">#REF!</definedName>
    <definedName name="V_KEYWORD_ISSR_208007774_INV_SECUR">#REF!</definedName>
    <definedName name="V_KEYWORD_ISSR_208007774_Issuer_Name">#REF!</definedName>
    <definedName name="V_KEYWORD_ISSR_208007774_LATAM_ASS">#REF!</definedName>
    <definedName name="V_KEYWORD_ISSR_208007774_LATAM_OP">#REF!</definedName>
    <definedName name="V_KEYWORD_ISSR_208007774_LATAM_SALES">#REF!</definedName>
    <definedName name="V_KEYWORD_ISSR_208007774_LEASE_PAY">#REF!</definedName>
    <definedName name="V_KEYWORD_ISSR_208007774_LIFE_INC">#REF!</definedName>
    <definedName name="V_KEYWORD_ISSR_208007774_LIFE_POLICY_ASS">#REF!</definedName>
    <definedName name="V_KEYWORD_ISSR_208007774_LIFE_POLICY_LIABS">#REF!</definedName>
    <definedName name="V_KEYWORD_ISSR_208007774_LIFE_SHARE">#REF!</definedName>
    <definedName name="V_KEYWORD_ISSR_208007774_MA_PROB">#REF!</definedName>
    <definedName name="V_KEYWORD_ISSR_208007774_MINOR_EQUITY_BS">#REF!</definedName>
    <definedName name="V_KEYWORD_ISSR_208007774_MINORITIES">#REF!</definedName>
    <definedName name="V_KEYWORD_ISSR_208007774_MV_ASSOCIATES">#REF!</definedName>
    <definedName name="V_KEYWORD_ISSR_208007774_NAM_ASS">#REF!</definedName>
    <definedName name="V_KEYWORD_ISSR_208007774_NAM_OP">#REF!</definedName>
    <definedName name="V_KEYWORD_ISSR_208007774_NAM_SALES">#REF!</definedName>
    <definedName name="V_KEYWORD_ISSR_208007774_NET_FEE">#REF!</definedName>
    <definedName name="V_KEYWORD_ISSR_208007774_NET_FIX_ASS">#REF!</definedName>
    <definedName name="V_KEYWORD_ISSR_208007774_NET_INTANG">#REF!</definedName>
    <definedName name="V_KEYWORD_ISSR_208007774_NET_OP_PROF">#REF!</definedName>
    <definedName name="V_KEYWORD_ISSR_208007774_NETCHGOFF_BS">#REF!</definedName>
    <definedName name="V_KEYWORD_ISSR_208007774_NON_INT_INC">#REF!</definedName>
    <definedName name="V_KEYWORD_ISSR_208007774_OP_COST">#REF!</definedName>
    <definedName name="V_KEYWORD_ISSR_208007774_ORD_SH_FUND">#REF!</definedName>
    <definedName name="V_KEYWORD_ISSR_208007774_OTH_ADMIN">#REF!</definedName>
    <definedName name="V_KEYWORD_ISSR_208007774_OTH_ASS">#REF!</definedName>
    <definedName name="V_KEYWORD_ISSR_208007774_OTH_ASSET">#REF!</definedName>
    <definedName name="V_KEYWORD_ISSR_208007774_OTH_COST">#REF!</definedName>
    <definedName name="V_KEYWORD_ISSR_208007774_OTH_COST_INC">#REF!</definedName>
    <definedName name="V_KEYWORD_ISSR_208007774_OTH_DACF_ADJ">#REF!</definedName>
    <definedName name="V_KEYWORD_ISSR_208007774_OTH_GCI_ADJ">#REF!</definedName>
    <definedName name="V_KEYWORD_ISSR_208007774_OTH_INC">#REF!</definedName>
    <definedName name="V_KEYWORD_ISSR_208007774_OTH_INTANG">#REF!</definedName>
    <definedName name="V_KEYWORD_ISSR_208007774_OTH_LIABS">#REF!</definedName>
    <definedName name="V_KEYWORD_ISSR_208007774_OTH_NONOP_EXP">#REF!</definedName>
    <definedName name="V_KEYWORD_ISSR_208007774_OTH_NONOP_INC">#REF!</definedName>
    <definedName name="V_KEYWORD_ISSR_208007774_OTH_OP">#REF!</definedName>
    <definedName name="V_KEYWORD_ISSR_208007774_OTH_PAY_LIABS">#REF!</definedName>
    <definedName name="V_KEYWORD_ISSR_208007774_OTH_PROVS">#REF!</definedName>
    <definedName name="V_KEYWORD_ISSR_208007774_OTH_SALES">#REF!</definedName>
    <definedName name="V_KEYWORD_ISSR_208007774_PCT_ASIA_ASS">#REF!</definedName>
    <definedName name="V_KEYWORD_ISSR_208007774_PCT_ASIA_OP">#REF!</definedName>
    <definedName name="V_KEYWORD_ISSR_208007774_PCT_ASIA_SALES">#REF!</definedName>
    <definedName name="V_KEYWORD_ISSR_208007774_PCT_DOM_ASS">#REF!</definedName>
    <definedName name="V_KEYWORD_ISSR_208007774_PCT_DOM_OP">#REF!</definedName>
    <definedName name="V_KEYWORD_ISSR_208007774_PCT_DOM_SALES">#REF!</definedName>
    <definedName name="V_KEYWORD_ISSR_208007774_PCT_EMER_ASS">#REF!</definedName>
    <definedName name="V_KEYWORD_ISSR_208007774_PCT_EMER_OP">#REF!</definedName>
    <definedName name="V_KEYWORD_ISSR_208007774_PCT_EMER_SALES">#REF!</definedName>
    <definedName name="V_KEYWORD_ISSR_208007774_PCT_EURO_ASS">#REF!</definedName>
    <definedName name="V_KEYWORD_ISSR_208007774_PCT_EURO_OP">#REF!</definedName>
    <definedName name="V_KEYWORD_ISSR_208007774_PCT_EURO_SALES">#REF!</definedName>
    <definedName name="V_KEYWORD_ISSR_208007774_PCT_LATAM_ASS">#REF!</definedName>
    <definedName name="V_KEYWORD_ISSR_208007774_PCT_LATAM_OP">#REF!</definedName>
    <definedName name="V_KEYWORD_ISSR_208007774_PCT_LATAM_SALES">#REF!</definedName>
    <definedName name="V_KEYWORD_ISSR_208007774_PCT_NAM_ASS">#REF!</definedName>
    <definedName name="V_KEYWORD_ISSR_208007774_PCT_NAM_OP">#REF!</definedName>
    <definedName name="V_KEYWORD_ISSR_208007774_PCT_NAM_SALES">#REF!</definedName>
    <definedName name="V_KEYWORD_ISSR_208007774_PCT_OTH_ASS">#REF!</definedName>
    <definedName name="V_KEYWORD_ISSR_208007774_PCT_OTH_OP">#REF!</definedName>
    <definedName name="V_KEYWORD_ISSR_208007774_PCT_OTH_SALES">#REF!</definedName>
    <definedName name="V_KEYWORD_ISSR_208007774_PERIOD_MILESTONE">#REF!</definedName>
    <definedName name="V_KEYWORD_ISSR_208007774_PERSONNEL">#REF!</definedName>
    <definedName name="V_KEYWORD_ISSR_208007774_PRE_PAYMNTS">#REF!</definedName>
    <definedName name="V_KEYWORD_ISSR_208007774_PREF_SHARE_CAP">#REF!</definedName>
    <definedName name="V_KEYWORD_ISSR_208007774_PROF_BTE">#REF!</definedName>
    <definedName name="V_KEYWORD_ISSR_208007774_PROFIT_ON_DISP">#REF!</definedName>
    <definedName name="V_KEYWORD_ISSR_208007774_PROV_BS">#REF!</definedName>
    <definedName name="V_KEYWORD_ISSR_208007774_PT_PROF">#REF!</definedName>
    <definedName name="V_KEYWORD_ISSR_208007774_RECOVERIES_BS">#REF!</definedName>
    <definedName name="V_KEYWORD_ISSR_208007774_REV_FIN_SEGMENT">#REF!</definedName>
    <definedName name="V_KEYWORD_ISSR_208007774_SALES">#REF!</definedName>
    <definedName name="V_KEYWORD_ISSR_208007774_SALES_ARGENTINA">#REF!</definedName>
    <definedName name="V_KEYWORD_ISSR_208007774_SALES_BRAZIL">#REF!</definedName>
    <definedName name="V_KEYWORD_ISSR_208007774_SALES_CANADA">#REF!</definedName>
    <definedName name="V_KEYWORD_ISSR_208007774_SALES_CEE">#REF!</definedName>
    <definedName name="V_KEYWORD_ISSR_208007774_SALES_CHILE">#REF!</definedName>
    <definedName name="V_KEYWORD_ISSR_208007774_SALES_CHINA">#REF!</definedName>
    <definedName name="V_KEYWORD_ISSR_208007774_SALES_COLOMBIA">#REF!</definedName>
    <definedName name="V_KEYWORD_ISSR_208007774_SALES_CONS">#REF!</definedName>
    <definedName name="V_KEYWORD_ISSR_208007774_SALES_EU_EX_UK">#REF!</definedName>
    <definedName name="V_KEYWORD_ISSR_208007774_SALES_FINAN">#REF!</definedName>
    <definedName name="V_KEYWORD_ISSR_208007774_SALES_FX_ARS">#REF!</definedName>
    <definedName name="V_KEYWORD_ISSR_208007774_SALES_FX_BRL">#REF!</definedName>
    <definedName name="V_KEYWORD_ISSR_208007774_SALES_FX_CAD">#REF!</definedName>
    <definedName name="V_KEYWORD_ISSR_208007774_SALES_FX_CLP">#REF!</definedName>
    <definedName name="V_KEYWORD_ISSR_208007774_SALES_FX_CNY">#REF!</definedName>
    <definedName name="V_KEYWORD_ISSR_208007774_SALES_FX_COP">#REF!</definedName>
    <definedName name="V_KEYWORD_ISSR_208007774_SALES_FX_EUR">#REF!</definedName>
    <definedName name="V_KEYWORD_ISSR_208007774_SALES_FX_GPB">#REF!</definedName>
    <definedName name="V_KEYWORD_ISSR_208007774_SALES_FX_INR">#REF!</definedName>
    <definedName name="V_KEYWORD_ISSR_208007774_SALES_FX_MXN">#REF!</definedName>
    <definedName name="V_KEYWORD_ISSR_208007774_SALES_FX_OTH">#REF!</definedName>
    <definedName name="V_KEYWORD_ISSR_208007774_SALES_FX_RUB">#REF!</definedName>
    <definedName name="V_KEYWORD_ISSR_208007774_SALES_FX_USD">#REF!</definedName>
    <definedName name="V_KEYWORD_ISSR_208007774_SALES_FX_VEF">#REF!</definedName>
    <definedName name="V_KEYWORD_ISSR_208007774_SALES_FX_YEN">#REF!</definedName>
    <definedName name="V_KEYWORD_ISSR_208007774_SALES_GOV">#REF!</definedName>
    <definedName name="V_KEYWORD_ISSR_208007774_SALES_IND">#REF!</definedName>
    <definedName name="V_KEYWORD_ISSR_208007774_SALES_INDIA">#REF!</definedName>
    <definedName name="V_KEYWORD_ISSR_208007774_SALES_JAPAN">#REF!</definedName>
    <definedName name="V_KEYWORD_ISSR_208007774_SALES_ME">#REF!</definedName>
    <definedName name="V_KEYWORD_ISSR_208007774_SALES_MEXICO">#REF!</definedName>
    <definedName name="V_KEYWORD_ISSR_208007774_SALES_OTH_AEJ">#REF!</definedName>
    <definedName name="V_KEYWORD_ISSR_208007774_SALES_OTH_AM">#REF!</definedName>
    <definedName name="V_KEYWORD_ISSR_208007774_SALES_OTH_EMEA">#REF!</definedName>
    <definedName name="V_KEYWORD_ISSR_208007774_SALES_OTHER">#REF!</definedName>
    <definedName name="V_KEYWORD_ISSR_208007774_SALES_RUSSIA">#REF!</definedName>
    <definedName name="V_KEYWORD_ISSR_208007774_SALES_SMB">#REF!</definedName>
    <definedName name="V_KEYWORD_ISSR_208007774_SALES_TOT_AFRICA">#REF!</definedName>
    <definedName name="V_KEYWORD_ISSR_208007774_SALES_TOT_AM">#REF!</definedName>
    <definedName name="V_KEYWORD_ISSR_208007774_SALES_TOT_ASIA">#REF!</definedName>
    <definedName name="V_KEYWORD_ISSR_208007774_SALES_TOT_EMEA">#REF!</definedName>
    <definedName name="V_KEYWORD_ISSR_208007774_SALES_UK">#REF!</definedName>
    <definedName name="V_KEYWORD_ISSR_208007774_SALES_US">#REF!</definedName>
    <definedName name="V_KEYWORD_ISSR_208007774_SALES_VENEZUELA">#REF!</definedName>
    <definedName name="V_KEYWORD_ISSR_208007774_SUB_ORD_LIABS">#REF!</definedName>
    <definedName name="V_KEYWORD_ISSR_208007774_TOT_ASS">#REF!</definedName>
    <definedName name="V_KEYWORD_ISSR_208007774_TOT_ASSET">#REF!</definedName>
    <definedName name="V_KEYWORD_ISSR_208007774_TOT_EXCEPTS">#REF!</definedName>
    <definedName name="V_KEYWORD_ISSR_208007774_TOT_LIAB">#REF!</definedName>
    <definedName name="V_KEYWORD_ISSR_208007774_TOT_LIAB_EQ">#REF!</definedName>
    <definedName name="V_KEYWORD_ISSR_208007774_TOT_OP">#REF!</definedName>
    <definedName name="V_KEYWORD_ISSR_208007774_TOT_PROVS">#REF!</definedName>
    <definedName name="V_KEYWORD_ISSR_208007774_TOT_SALES">#REF!</definedName>
    <definedName name="V_KEYWORD_ISSR_208007774_UNF_PENS">#REF!</definedName>
    <definedName name="V_KEYWORD_ISSR_208007774_UNF_PENS_LIAB_OTH">#REF!</definedName>
    <definedName name="V_KEYWORD_ISSR_208007774_UNF_PENS_OFF">#REF!</definedName>
    <definedName name="V_KEYWORD_ISSR_208007774_WRITE_OFFS_BS">#REF!</definedName>
    <definedName name="V_KEYWORD_ISSR_208007774_WTD_AVG_ASSET">#REF!</definedName>
    <definedName name="V_KEYWORD_ISSR_208007774_WTD_AVG_EQ">#REF!</definedName>
    <definedName name="V_LIVEDATA_EQTY_200010048">#REF!</definedName>
    <definedName name="V_LIVEDATA_ISSR_208007774">#REF!</definedName>
    <definedName name="V_PERIOD_1998">#REF!</definedName>
    <definedName name="V_PERIOD_1999">#REF!</definedName>
    <definedName name="V_PERIOD_2000">#REF!</definedName>
    <definedName name="V_PERIOD_2001">#REF!</definedName>
    <definedName name="V_PERIOD_2002">#REF!</definedName>
    <definedName name="V_PERIOD_2003">#REF!</definedName>
    <definedName name="V_PERIOD_2004">#REF!</definedName>
    <definedName name="V_PERIOD_2004_Q1">#REF!</definedName>
    <definedName name="V_PERIOD_2004_Q2">#REF!</definedName>
    <definedName name="V_PERIOD_2004_Q3">#REF!</definedName>
    <definedName name="V_PERIOD_2004_Q4">#REF!</definedName>
    <definedName name="V_PERIOD_2005">#REF!</definedName>
    <definedName name="V_PERIOD_2005_Q1">#REF!</definedName>
    <definedName name="V_PERIOD_2005_Q2">#REF!</definedName>
    <definedName name="V_PERIOD_2005_Q3">#REF!</definedName>
    <definedName name="V_PERIOD_2005_Q4">#REF!</definedName>
    <definedName name="V_PERIOD_2006">#REF!</definedName>
    <definedName name="V_PERIOD_2006_Q1">#REF!</definedName>
    <definedName name="V_PERIOD_2006_Q2">#REF!</definedName>
    <definedName name="V_PERIOD_2006_Q3">#REF!</definedName>
    <definedName name="V_PERIOD_2006_Q4">#REF!</definedName>
    <definedName name="V_PERIOD_2007">#REF!</definedName>
    <definedName name="V_PERIOD_2007_Q1">#REF!</definedName>
    <definedName name="V_PERIOD_2007_Q2">#REF!</definedName>
    <definedName name="V_PERIOD_2007_Q3">#REF!</definedName>
    <definedName name="V_PERIOD_2007_Q4">#REF!</definedName>
    <definedName name="V_PERIOD_2008">#REF!</definedName>
    <definedName name="V_PERIOD_2008_Q1">#REF!</definedName>
    <definedName name="V_PERIOD_2008_Q2">#REF!</definedName>
    <definedName name="V_PERIOD_2008_Q3">#REF!</definedName>
    <definedName name="V_PERIOD_2008_Q4">#REF!</definedName>
    <definedName name="V_PERIOD_2009">#REF!</definedName>
    <definedName name="V_PERIOD_2009_Q1">#REF!</definedName>
    <definedName name="V_PERIOD_2009_Q2">#REF!</definedName>
    <definedName name="V_PERIOD_2009_Q3">#REF!</definedName>
    <definedName name="V_PERIOD_2009_Q4">#REF!</definedName>
    <definedName name="V_PERIOD_2010">#REF!</definedName>
    <definedName name="V_PERIOD_2010_Q1">#REF!</definedName>
    <definedName name="V_PERIOD_2010_Q2">#REF!</definedName>
    <definedName name="V_PERIOD_2010_Q3">#REF!</definedName>
    <definedName name="V_PERIOD_2010_Q4">#REF!</definedName>
    <definedName name="V_PERIOD_2011">#REF!</definedName>
    <definedName name="V_PERIOD_2011_Q1">#REF!</definedName>
    <definedName name="V_PERIOD_2011_Q2">#REF!</definedName>
    <definedName name="V_PERIOD_2011_Q3">#REF!</definedName>
    <definedName name="V_PERIOD_2011_Q4">#REF!</definedName>
    <definedName name="V_PERIOD_2012">#REF!</definedName>
    <definedName name="V_PERIOD_2012_Q1">#REF!</definedName>
    <definedName name="V_PERIOD_2012_Q2">#REF!</definedName>
    <definedName name="V_PERIOD_2012_Q3">#REF!</definedName>
    <definedName name="V_PERIOD_2012_Q4">#REF!</definedName>
    <definedName name="V_PERIOD_2013">#REF!</definedName>
    <definedName name="V_PERIOD_2013_Q1">#REF!</definedName>
    <definedName name="V_PERIOD_2013_Q2">#REF!</definedName>
    <definedName name="V_PERIOD_2013_Q3">#REF!</definedName>
    <definedName name="V_PERIOD_2013_Q4">#REF!</definedName>
    <definedName name="V_PERIOD_2014">#REF!</definedName>
    <definedName name="V_PERIOD_2014_Q1">#REF!</definedName>
    <definedName name="V_PERIOD_2014_Q2">#REF!</definedName>
    <definedName name="V_PERIOD_2014_Q3">#REF!</definedName>
    <definedName name="V_PERIOD_2014_Q4">#REF!</definedName>
    <definedName name="V_PERIOD_2015">#REF!</definedName>
    <definedName name="V_PERIOD_2016">#REF!</definedName>
    <definedName name="V_PERIOD_2017">#REF!</definedName>
    <definedName name="V_PERIOD_2018">#REF!</definedName>
    <definedName name="V_SECTION_EQTY_200010048_1314">#REF!</definedName>
    <definedName name="V_SECTION_EQTY_200010048_1319">#REF!</definedName>
    <definedName name="V_SECTION_EQTY_200010048_131O">#REF!</definedName>
    <definedName name="V_SECTION_EQTY_200010048_13A">#REF!</definedName>
    <definedName name="V_SECTION_EQTY_200010048_13K">#REF!</definedName>
    <definedName name="V_SECTION_EQTY_200010048_13U">#REF!</definedName>
    <definedName name="V_SECTION_EQTY_200010048_13V">#REF!</definedName>
    <definedName name="V_SECTION_EQTY_200010048_13W">#REF!</definedName>
    <definedName name="V_SECTION_EQTY_200010048_Reference_Data">#REF!</definedName>
    <definedName name="V_SECTION_ISSR_208007774_1314">#REF!</definedName>
    <definedName name="V_SECTION_ISSR_208007774_13168">#REF!</definedName>
    <definedName name="V_SECTION_ISSR_208007774_1316U">#REF!</definedName>
    <definedName name="V_SECTION_ISSR_208007774_1319">#REF!</definedName>
    <definedName name="V_SECTION_ISSR_208007774_131E">#REF!</definedName>
    <definedName name="V_SECTION_ISSR_208007774_131J">#REF!</definedName>
    <definedName name="V_SECTION_ISSR_208007774_131O">#REF!</definedName>
    <definedName name="V_SECTION_ISSR_208007774_133M">#REF!</definedName>
    <definedName name="V_SECTION_ISSR_208007774_133R">#REF!</definedName>
    <definedName name="V_SECTION_ISSR_208007774_133W">#REF!</definedName>
    <definedName name="V_SECTION_ISSR_208007774_1341">#REF!</definedName>
    <definedName name="V_SECTION_ISSR_208007774_1346">#REF!</definedName>
    <definedName name="V_SECTION_ISSR_208007774_134B">#REF!</definedName>
    <definedName name="V_SECTION_ISSR_208007774_134G">#REF!</definedName>
    <definedName name="V_SECTION_ISSR_208007774_134L">#REF!</definedName>
    <definedName name="V_SECTION_ISSR_208007774_134Q">#REF!</definedName>
    <definedName name="V_SECTION_ISSR_208007774_134V">#REF!</definedName>
    <definedName name="V_SECTION_ISSR_208007774_13A">#REF!</definedName>
    <definedName name="V_SECTION_ISSR_208007774_13U">#REF!</definedName>
    <definedName name="V_SECTION_ISSR_208007774_13V">#REF!</definedName>
    <definedName name="V_SECTION_ISSR_208007774_Reference_Data">#REF!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6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Z_5D772894_03A8_4168_931C_00FEF377EDDC_.wvu.PrintArea" localSheetId="0" hidden="1">'Title Page'!$A$1:$P$23</definedName>
    <definedName name="Z_5E40B0A7_91A6_461F_8809_2BAD5C0105D5_.wvu.PrintArea" localSheetId="0" hidden="1">'Title Page'!$A$1:$P$23</definedName>
    <definedName name="Z_64754F09_3463_47E5_95F4_05FDC970B074_.wvu.PrintArea" localSheetId="0" hidden="1">'Title Page'!$A$1:$P$23</definedName>
    <definedName name="Z_ACB58A94_B8ED_4929_A347_FE9DF3798C57_.wvu.PrintArea" localSheetId="0" hidden="1">'Title Page'!$A$1:$P$23</definedName>
  </definedNames>
  <calcPr calcId="181029"/>
</workbook>
</file>

<file path=xl/calcChain.xml><?xml version="1.0" encoding="utf-8"?>
<calcChain xmlns="http://schemas.openxmlformats.org/spreadsheetml/2006/main">
  <c r="CZ31" i="5" l="1"/>
  <c r="CZ36" i="5"/>
  <c r="CZ34" i="5"/>
  <c r="CZ20" i="5"/>
  <c r="CZ29" i="5"/>
  <c r="CZ19" i="5"/>
  <c r="BS5" i="10" l="1"/>
  <c r="BS153" i="9"/>
  <c r="BS99" i="9"/>
  <c r="BS65" i="9"/>
  <c r="BS64" i="9"/>
  <c r="BS49" i="9"/>
  <c r="BS45" i="9"/>
  <c r="BS41" i="9"/>
  <c r="BS40" i="9"/>
  <c r="BS36" i="9"/>
  <c r="BS32" i="9"/>
  <c r="BS31" i="9"/>
  <c r="BS30" i="9"/>
  <c r="BS29" i="9"/>
  <c r="BS28" i="9"/>
  <c r="BS26" i="9"/>
  <c r="BS22" i="9"/>
  <c r="BS18" i="9"/>
  <c r="BS17" i="9"/>
  <c r="BS13" i="9"/>
  <c r="BS12" i="9"/>
  <c r="BS10" i="9"/>
  <c r="BS9" i="9"/>
  <c r="BS7" i="9"/>
  <c r="BS53" i="9" s="1"/>
  <c r="CZ85" i="7"/>
  <c r="CY85" i="7"/>
  <c r="CX85" i="7"/>
  <c r="CZ82" i="7"/>
  <c r="CY82" i="7"/>
  <c r="CX82" i="7"/>
  <c r="CZ81" i="7"/>
  <c r="CY81" i="7"/>
  <c r="CX81" i="7"/>
  <c r="CZ80" i="7"/>
  <c r="CY80" i="7"/>
  <c r="CX80" i="7"/>
  <c r="CZ77" i="7"/>
  <c r="CY77" i="7"/>
  <c r="CX77" i="7"/>
  <c r="CZ76" i="7"/>
  <c r="CY76" i="7"/>
  <c r="CX76" i="7"/>
  <c r="CZ74" i="7"/>
  <c r="CY74" i="7"/>
  <c r="CX74" i="7"/>
  <c r="CZ73" i="7"/>
  <c r="CY73" i="7"/>
  <c r="CX73" i="7"/>
  <c r="CZ69" i="7"/>
  <c r="CY69" i="7"/>
  <c r="CZ68" i="7"/>
  <c r="CY68" i="7"/>
  <c r="CX68" i="7"/>
  <c r="CZ65" i="7"/>
  <c r="CY65" i="7"/>
  <c r="CX65" i="7"/>
  <c r="CZ64" i="7"/>
  <c r="CY64" i="7"/>
  <c r="CX64" i="7"/>
  <c r="CZ60" i="7"/>
  <c r="CY60" i="7"/>
  <c r="CX60" i="7"/>
  <c r="CZ55" i="7"/>
  <c r="CY55" i="7"/>
  <c r="CX55" i="7"/>
  <c r="CZ54" i="7"/>
  <c r="CY54" i="7"/>
  <c r="CX54" i="7"/>
  <c r="CZ53" i="7"/>
  <c r="CY53" i="7"/>
  <c r="CX53" i="7"/>
  <c r="CZ40" i="7"/>
  <c r="CY40" i="7"/>
  <c r="CX40" i="7"/>
  <c r="CZ35" i="7"/>
  <c r="CY35" i="7"/>
  <c r="CX35" i="7"/>
  <c r="CZ34" i="7"/>
  <c r="CY34" i="7"/>
  <c r="CX34" i="7"/>
  <c r="CZ33" i="7"/>
  <c r="CY33" i="7"/>
  <c r="CX33" i="7"/>
  <c r="CZ28" i="7"/>
  <c r="CY28" i="7"/>
  <c r="CX28" i="7"/>
  <c r="CZ27" i="7"/>
  <c r="CY27" i="7"/>
  <c r="CX27" i="7"/>
  <c r="CZ107" i="6"/>
  <c r="CZ100" i="6"/>
  <c r="CZ95" i="6"/>
  <c r="CZ88" i="6"/>
  <c r="CZ86" i="6"/>
  <c r="CZ92" i="6" s="1"/>
  <c r="CZ80" i="6"/>
  <c r="BS103" i="9" s="1"/>
  <c r="BS144" i="9" s="1"/>
  <c r="CZ77" i="6"/>
  <c r="CZ75" i="6"/>
  <c r="CZ68" i="6"/>
  <c r="BS142" i="9" s="1"/>
  <c r="CZ67" i="6"/>
  <c r="CZ58" i="6"/>
  <c r="BS111" i="9" s="1"/>
  <c r="CZ39" i="6"/>
  <c r="CZ64" i="5" s="1"/>
  <c r="CZ37" i="6"/>
  <c r="CZ23" i="6"/>
  <c r="CZ17" i="6"/>
  <c r="CZ54" i="5" s="1"/>
  <c r="CZ13" i="6"/>
  <c r="CZ70" i="5"/>
  <c r="CZ66" i="5"/>
  <c r="CZ60" i="5"/>
  <c r="CZ56" i="5"/>
  <c r="CZ55" i="5"/>
  <c r="CZ53" i="5"/>
  <c r="CZ52" i="5"/>
  <c r="CZ51" i="5"/>
  <c r="CZ48" i="5"/>
  <c r="CZ32" i="5"/>
  <c r="CY32" i="5"/>
  <c r="CZ26" i="5"/>
  <c r="BS27" i="9" s="1"/>
  <c r="CZ13" i="5"/>
  <c r="CZ15" i="5" s="1"/>
  <c r="CZ31" i="6" l="1"/>
  <c r="BS147" i="9"/>
  <c r="BS105" i="9"/>
  <c r="BS60" i="9"/>
  <c r="CZ52" i="7"/>
  <c r="BS122" i="9"/>
  <c r="BS97" i="9"/>
  <c r="BS119" i="9" s="1"/>
  <c r="BS107" i="9"/>
  <c r="CZ48" i="6"/>
  <c r="BS109" i="9" s="1"/>
  <c r="CZ69" i="6"/>
  <c r="BS101" i="9"/>
  <c r="BS154" i="9"/>
  <c r="CZ60" i="6"/>
  <c r="BS123" i="9"/>
  <c r="BS141" i="9"/>
  <c r="BS143" i="9" s="1"/>
  <c r="CZ32" i="7"/>
  <c r="BS92" i="9"/>
  <c r="BS20" i="9"/>
  <c r="BS76" i="9"/>
  <c r="BS146" i="9"/>
  <c r="BS145" i="9"/>
  <c r="BS24" i="9"/>
  <c r="BS34" i="9" s="1"/>
  <c r="BS38" i="9" s="1"/>
  <c r="BS43" i="9" s="1"/>
  <c r="BS47" i="9" s="1"/>
  <c r="BS91" i="9"/>
  <c r="BS93" i="9" s="1"/>
  <c r="BS78" i="9"/>
  <c r="BS15" i="9"/>
  <c r="BS67" i="9"/>
  <c r="BS82" i="9" s="1"/>
  <c r="BS96" i="9" s="1"/>
  <c r="BS118" i="9" s="1"/>
  <c r="BS126" i="9" s="1"/>
  <c r="BS140" i="9" s="1"/>
  <c r="BS90" i="9" s="1"/>
  <c r="CZ57" i="5"/>
  <c r="CZ21" i="5"/>
  <c r="BS120" i="9" l="1"/>
  <c r="BS151" i="9"/>
  <c r="BS121" i="9"/>
  <c r="BS75" i="9"/>
  <c r="BS113" i="9"/>
  <c r="CZ33" i="5"/>
  <c r="BS80" i="9"/>
  <c r="BS51" i="9"/>
  <c r="CZ37" i="5" l="1"/>
  <c r="CZ45" i="7"/>
  <c r="CZ47" i="7" s="1"/>
  <c r="CZ46" i="7" l="1"/>
  <c r="CZ39" i="5"/>
  <c r="CZ41" i="5" l="1"/>
  <c r="BS56" i="9"/>
  <c r="CZ84" i="6"/>
  <c r="CZ45" i="5"/>
  <c r="BS58" i="9" l="1"/>
  <c r="BS54" i="9"/>
  <c r="Z12" i="7"/>
  <c r="Y12" i="7"/>
  <c r="X12" i="7"/>
  <c r="W12" i="7"/>
  <c r="V12" i="7"/>
  <c r="U12" i="7"/>
  <c r="T12" i="7"/>
  <c r="DA17" i="7" l="1"/>
  <c r="CZ17" i="7"/>
  <c r="CY17" i="7"/>
  <c r="CX17" i="7"/>
  <c r="CW17" i="7"/>
  <c r="CV17" i="7"/>
  <c r="CU17" i="7"/>
  <c r="CT17" i="7"/>
  <c r="CS17" i="7"/>
  <c r="CR17" i="7"/>
  <c r="CQ17" i="7"/>
  <c r="CP17" i="7"/>
  <c r="CO17" i="7"/>
  <c r="CN17" i="7"/>
  <c r="CM17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DB16" i="7"/>
  <c r="DB17" i="7" s="1"/>
  <c r="T16" i="7"/>
  <c r="DB15" i="7"/>
  <c r="DA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DX14" i="7"/>
  <c r="DX30" i="7" s="1"/>
  <c r="DW14" i="7"/>
  <c r="DW30" i="7" s="1"/>
  <c r="DV14" i="7"/>
  <c r="DV30" i="7" s="1"/>
  <c r="DU14" i="7"/>
  <c r="DU30" i="7" s="1"/>
  <c r="DT14" i="7"/>
  <c r="DT30" i="7" s="1"/>
  <c r="DS14" i="7"/>
  <c r="DS30" i="7" s="1"/>
  <c r="DR14" i="7"/>
  <c r="DR30" i="7" s="1"/>
  <c r="DQ14" i="7"/>
  <c r="DQ30" i="7" s="1"/>
  <c r="DP14" i="7"/>
  <c r="DP30" i="7" s="1"/>
  <c r="DO14" i="7"/>
  <c r="DO30" i="7" s="1"/>
  <c r="DN14" i="7"/>
  <c r="DN30" i="7" s="1"/>
  <c r="DM14" i="7"/>
  <c r="DM30" i="7" s="1"/>
  <c r="DL14" i="7"/>
  <c r="DL30" i="7" s="1"/>
  <c r="DK14" i="7"/>
  <c r="DK30" i="7" s="1"/>
  <c r="DJ14" i="7"/>
  <c r="DJ30" i="7" s="1"/>
  <c r="DI14" i="7"/>
  <c r="DI30" i="7" s="1"/>
  <c r="DH14" i="7"/>
  <c r="DH30" i="7" s="1"/>
  <c r="DG14" i="7"/>
  <c r="DG30" i="7" s="1"/>
  <c r="DF14" i="7"/>
  <c r="DF30" i="7" s="1"/>
  <c r="DE14" i="7"/>
  <c r="DE30" i="7" s="1"/>
  <c r="DD14" i="7"/>
  <c r="DD30" i="7" s="1"/>
  <c r="DC14" i="7"/>
  <c r="DC30" i="7" s="1"/>
  <c r="DB14" i="7"/>
  <c r="DB30" i="7" s="1"/>
  <c r="DA14" i="7"/>
  <c r="DA30" i="7" s="1"/>
  <c r="CZ14" i="7"/>
  <c r="BS11" i="9" s="1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X14" i="7"/>
  <c r="W14" i="7"/>
  <c r="V14" i="7"/>
  <c r="U14" i="7"/>
  <c r="T14" i="7"/>
  <c r="S14" i="7"/>
  <c r="Z13" i="7"/>
  <c r="Z14" i="7" s="1"/>
  <c r="Y13" i="7"/>
  <c r="Y14" i="7" s="1"/>
  <c r="Z11" i="7"/>
  <c r="Y11" i="7"/>
  <c r="DC16" i="7" l="1"/>
  <c r="DC15" i="7" s="1"/>
  <c r="DD15" i="7"/>
  <c r="DD16" i="7"/>
  <c r="DD17" i="7" s="1"/>
  <c r="DC17" i="7" l="1"/>
  <c r="U16" i="7"/>
  <c r="DE16" i="7"/>
  <c r="DE17" i="7" s="1"/>
  <c r="DE15" i="7"/>
  <c r="DF16" i="7" l="1"/>
  <c r="U15" i="7"/>
  <c r="DG16" i="7" l="1"/>
  <c r="DF15" i="7"/>
  <c r="DF17" i="7"/>
  <c r="DH16" i="7" l="1"/>
  <c r="DG15" i="7"/>
  <c r="DG17" i="7"/>
  <c r="CW31" i="5"/>
  <c r="DI16" i="7" l="1"/>
  <c r="V16" i="7"/>
  <c r="DI15" i="7"/>
  <c r="DH15" i="7"/>
  <c r="DH17" i="7"/>
  <c r="CY36" i="5"/>
  <c r="CY19" i="5"/>
  <c r="CY20" i="5"/>
  <c r="CX20" i="5"/>
  <c r="CW20" i="5"/>
  <c r="CY30" i="7" l="1"/>
  <c r="CZ30" i="7"/>
  <c r="CX30" i="7"/>
  <c r="DJ16" i="7"/>
  <c r="V15" i="7"/>
  <c r="DI17" i="7"/>
  <c r="CU31" i="5"/>
  <c r="CX31" i="5"/>
  <c r="DK16" i="7" l="1"/>
  <c r="DJ15" i="7"/>
  <c r="DJ17" i="7"/>
  <c r="CY48" i="5"/>
  <c r="BQ5" i="10"/>
  <c r="BR5" i="10"/>
  <c r="BR7" i="9"/>
  <c r="BR67" i="9" s="1"/>
  <c r="BR82" i="9" s="1"/>
  <c r="BR96" i="9" s="1"/>
  <c r="BR118" i="9" s="1"/>
  <c r="BR126" i="9" s="1"/>
  <c r="BR140" i="9" s="1"/>
  <c r="BR90" i="9" s="1"/>
  <c r="BR9" i="9"/>
  <c r="BR10" i="9"/>
  <c r="BR12" i="9"/>
  <c r="BR13" i="9"/>
  <c r="BR17" i="9"/>
  <c r="BR18" i="9"/>
  <c r="BR22" i="9"/>
  <c r="BS84" i="9" s="1"/>
  <c r="BR26" i="9"/>
  <c r="BS85" i="9" s="1"/>
  <c r="BR28" i="9"/>
  <c r="BR29" i="9"/>
  <c r="BR30" i="9"/>
  <c r="BR31" i="9"/>
  <c r="BR32" i="9"/>
  <c r="BR36" i="9"/>
  <c r="BR40" i="9"/>
  <c r="BR41" i="9"/>
  <c r="BR45" i="9"/>
  <c r="BR49" i="9"/>
  <c r="BR99" i="9"/>
  <c r="BR153" i="9"/>
  <c r="CY67" i="6"/>
  <c r="BR101" i="9" s="1"/>
  <c r="CY68" i="6"/>
  <c r="CY75" i="6"/>
  <c r="CY77" i="6" s="1"/>
  <c r="CY80" i="6"/>
  <c r="CZ74" i="6" s="1"/>
  <c r="CZ79" i="6" s="1"/>
  <c r="CY86" i="6"/>
  <c r="CY92" i="6" s="1"/>
  <c r="CY88" i="6"/>
  <c r="CZ83" i="6" s="1"/>
  <c r="CY95" i="6"/>
  <c r="CZ91" i="6" s="1"/>
  <c r="CZ94" i="6" s="1"/>
  <c r="CY100" i="6"/>
  <c r="CY107" i="6"/>
  <c r="CZ105" i="6" s="1"/>
  <c r="CZ106" i="6" s="1"/>
  <c r="CY39" i="6"/>
  <c r="CY37" i="6"/>
  <c r="CY58" i="6"/>
  <c r="CY17" i="6"/>
  <c r="BR105" i="9" s="1"/>
  <c r="CY7" i="6"/>
  <c r="CY8" i="7" s="1"/>
  <c r="CY13" i="6"/>
  <c r="CY23" i="6"/>
  <c r="CX51" i="5"/>
  <c r="CY51" i="5"/>
  <c r="CX52" i="5"/>
  <c r="CY52" i="5"/>
  <c r="CX53" i="5"/>
  <c r="CY53" i="5"/>
  <c r="CX55" i="5"/>
  <c r="CY55" i="5"/>
  <c r="CX56" i="5"/>
  <c r="CY56" i="5"/>
  <c r="CX60" i="5"/>
  <c r="CY60" i="5"/>
  <c r="CX63" i="5"/>
  <c r="CX65" i="5"/>
  <c r="CX66" i="5"/>
  <c r="CY66" i="5"/>
  <c r="CX70" i="5"/>
  <c r="CY70" i="5"/>
  <c r="CY54" i="5" l="1"/>
  <c r="BS86" i="9"/>
  <c r="BS102" i="9"/>
  <c r="CZ86" i="7"/>
  <c r="CZ44" i="7"/>
  <c r="CY64" i="5"/>
  <c r="CZ75" i="7"/>
  <c r="BS135" i="9"/>
  <c r="BS106" i="9"/>
  <c r="CZ29" i="7"/>
  <c r="CZ56" i="7"/>
  <c r="CZ72" i="7"/>
  <c r="CY69" i="6"/>
  <c r="BR142" i="9"/>
  <c r="BR111" i="9"/>
  <c r="BR147" i="9" s="1"/>
  <c r="BR107" i="9"/>
  <c r="BR121" i="9" s="1"/>
  <c r="BR103" i="9"/>
  <c r="BS100" i="9"/>
  <c r="BS133" i="9"/>
  <c r="BR20" i="9"/>
  <c r="DL16" i="7"/>
  <c r="DK15" i="7"/>
  <c r="DK17" i="7"/>
  <c r="BR53" i="9"/>
  <c r="BR15" i="9"/>
  <c r="CY64" i="6"/>
  <c r="BR141" i="9"/>
  <c r="CY48" i="6"/>
  <c r="CY31" i="6"/>
  <c r="CY57" i="5"/>
  <c r="BR143" i="9" l="1"/>
  <c r="CY60" i="6"/>
  <c r="BR109" i="9"/>
  <c r="BS79" i="9"/>
  <c r="BS108" i="9"/>
  <c r="CZ71" i="6"/>
  <c r="CZ41" i="7"/>
  <c r="CZ38" i="7"/>
  <c r="CY52" i="7"/>
  <c r="CZ39" i="7"/>
  <c r="BR122" i="9"/>
  <c r="BR97" i="9"/>
  <c r="BR154" i="9"/>
  <c r="BS104" i="9"/>
  <c r="BR144" i="9"/>
  <c r="BR146" i="9" s="1"/>
  <c r="BS137" i="9"/>
  <c r="BS112" i="9"/>
  <c r="CZ58" i="5"/>
  <c r="BR113" i="9"/>
  <c r="BR91" i="9"/>
  <c r="BS83" i="9"/>
  <c r="BR24" i="9"/>
  <c r="BR78" i="9"/>
  <c r="W16" i="7"/>
  <c r="DM16" i="7"/>
  <c r="DM17" i="7" s="1"/>
  <c r="DM15" i="7"/>
  <c r="DL15" i="7"/>
  <c r="DL17" i="7"/>
  <c r="BR151" i="9"/>
  <c r="BS152" i="9" s="1"/>
  <c r="BR145" i="9" l="1"/>
  <c r="BS110" i="9"/>
  <c r="BS68" i="9"/>
  <c r="BS149" i="9"/>
  <c r="BS150" i="9" s="1"/>
  <c r="BS156" i="9" s="1"/>
  <c r="BS155" i="9"/>
  <c r="BS98" i="9"/>
  <c r="BS131" i="9"/>
  <c r="BR120" i="9"/>
  <c r="BR123" i="9"/>
  <c r="BR119" i="9"/>
  <c r="CZ23" i="7"/>
  <c r="CZ21" i="7"/>
  <c r="CZ59" i="5" s="1"/>
  <c r="BS127" i="9"/>
  <c r="BS114" i="9"/>
  <c r="DN16" i="7"/>
  <c r="W15" i="7"/>
  <c r="BS23" i="10" l="1"/>
  <c r="BS15" i="10"/>
  <c r="BS21" i="10"/>
  <c r="BS9" i="10"/>
  <c r="BS17" i="10"/>
  <c r="BS8" i="10"/>
  <c r="BS10" i="10" s="1"/>
  <c r="BS77" i="9"/>
  <c r="BS74" i="9"/>
  <c r="BS11" i="10"/>
  <c r="BS18" i="10"/>
  <c r="BS14" i="10"/>
  <c r="BS13" i="10"/>
  <c r="BS20" i="10"/>
  <c r="BS16" i="10"/>
  <c r="BS69" i="9"/>
  <c r="BS71" i="9"/>
  <c r="BS70" i="9"/>
  <c r="DO16" i="7"/>
  <c r="DN15" i="7"/>
  <c r="DN17" i="7"/>
  <c r="CY26" i="5"/>
  <c r="BR27" i="9" s="1"/>
  <c r="CY21" i="5"/>
  <c r="CY13" i="5"/>
  <c r="CY15" i="5" s="1"/>
  <c r="CY33" i="5" s="1"/>
  <c r="BS12" i="10" l="1"/>
  <c r="BS19" i="10" s="1"/>
  <c r="BS22" i="10" s="1"/>
  <c r="BS24" i="10" s="1"/>
  <c r="CY45" i="7"/>
  <c r="CY46" i="7" s="1"/>
  <c r="CY32" i="7"/>
  <c r="BS87" i="9"/>
  <c r="BR92" i="9"/>
  <c r="BR93" i="9" s="1"/>
  <c r="BR76" i="9"/>
  <c r="BR34" i="9"/>
  <c r="BR38" i="9" s="1"/>
  <c r="DP16" i="7"/>
  <c r="DO15" i="7"/>
  <c r="DO17" i="7"/>
  <c r="BR80" i="9" l="1"/>
  <c r="BR43" i="9"/>
  <c r="BR47" i="9" s="1"/>
  <c r="BS94" i="9"/>
  <c r="BR75" i="9"/>
  <c r="CY47" i="7"/>
  <c r="DQ16" i="7"/>
  <c r="X16" i="7"/>
  <c r="DQ15" i="7"/>
  <c r="DP15" i="7"/>
  <c r="DP17" i="7"/>
  <c r="CY37" i="5"/>
  <c r="BS88" i="9" l="1"/>
  <c r="BR51" i="9"/>
  <c r="DR16" i="7"/>
  <c r="X15" i="7"/>
  <c r="DQ17" i="7"/>
  <c r="CY39" i="5"/>
  <c r="BR11" i="9"/>
  <c r="DS16" i="7" l="1"/>
  <c r="DR15" i="7"/>
  <c r="DR17" i="7"/>
  <c r="CY84" i="6"/>
  <c r="CY41" i="5"/>
  <c r="DT16" i="7" l="1"/>
  <c r="DS15" i="7"/>
  <c r="DS17" i="7"/>
  <c r="M27" i="11"/>
  <c r="CX107" i="6"/>
  <c r="CY105" i="6" s="1"/>
  <c r="CY106" i="6" s="1"/>
  <c r="CX100" i="6"/>
  <c r="CX95" i="6"/>
  <c r="CY91" i="6" s="1"/>
  <c r="CY94" i="6" s="1"/>
  <c r="CX88" i="6"/>
  <c r="CY83" i="6" s="1"/>
  <c r="CX86" i="6"/>
  <c r="CX92" i="6" s="1"/>
  <c r="CX80" i="6"/>
  <c r="CY74" i="6" s="1"/>
  <c r="CY79" i="6" s="1"/>
  <c r="CX75" i="6"/>
  <c r="CX77" i="6" s="1"/>
  <c r="CX68" i="6"/>
  <c r="CX67" i="6"/>
  <c r="CX58" i="6"/>
  <c r="CX39" i="6"/>
  <c r="CW39" i="6"/>
  <c r="CX37" i="6"/>
  <c r="CX23" i="6"/>
  <c r="CX17" i="6"/>
  <c r="CX32" i="5"/>
  <c r="CX26" i="5"/>
  <c r="CX13" i="5"/>
  <c r="CX15" i="5" s="1"/>
  <c r="CX21" i="5"/>
  <c r="CX69" i="6" l="1"/>
  <c r="CY72" i="7"/>
  <c r="CX75" i="7"/>
  <c r="CX64" i="5"/>
  <c r="CX67" i="5" s="1"/>
  <c r="CY75" i="7"/>
  <c r="CY44" i="7"/>
  <c r="CY86" i="7"/>
  <c r="CY71" i="6"/>
  <c r="CY29" i="7"/>
  <c r="CX54" i="5"/>
  <c r="CX57" i="5" s="1"/>
  <c r="CY58" i="5" s="1"/>
  <c r="CY56" i="7"/>
  <c r="CX48" i="6"/>
  <c r="CX60" i="6" s="1"/>
  <c r="Y16" i="7"/>
  <c r="DU16" i="7"/>
  <c r="DU17" i="7" s="1"/>
  <c r="DU15" i="7"/>
  <c r="DT15" i="7"/>
  <c r="DT17" i="7"/>
  <c r="CX33" i="5"/>
  <c r="CY23" i="7" l="1"/>
  <c r="CZ59" i="7"/>
  <c r="CY21" i="7"/>
  <c r="CY59" i="5" s="1"/>
  <c r="CX45" i="7"/>
  <c r="CX47" i="7" s="1"/>
  <c r="DV16" i="7"/>
  <c r="Y15" i="7"/>
  <c r="CX37" i="5"/>
  <c r="CX46" i="7" l="1"/>
  <c r="DW16" i="7"/>
  <c r="DV15" i="7"/>
  <c r="DV17" i="7"/>
  <c r="CX39" i="5"/>
  <c r="DX16" i="7" l="1"/>
  <c r="Z16" i="7" s="1"/>
  <c r="Z15" i="7" s="1"/>
  <c r="DW15" i="7"/>
  <c r="DW17" i="7"/>
  <c r="CX84" i="6"/>
  <c r="CX41" i="5"/>
  <c r="DX15" i="7" l="1"/>
  <c r="DX17" i="7"/>
  <c r="CW29" i="6" l="1"/>
  <c r="CX69" i="7" s="1"/>
  <c r="CW17" i="6"/>
  <c r="CX29" i="7" l="1"/>
  <c r="CX56" i="7"/>
  <c r="CW27" i="7"/>
  <c r="CW28" i="7"/>
  <c r="CW33" i="7"/>
  <c r="CW34" i="7"/>
  <c r="CW35" i="7"/>
  <c r="CW40" i="7"/>
  <c r="CW53" i="7"/>
  <c r="CW54" i="7"/>
  <c r="CW55" i="7"/>
  <c r="CW60" i="7"/>
  <c r="CW64" i="7"/>
  <c r="CW65" i="7"/>
  <c r="CW68" i="7"/>
  <c r="CW69" i="7"/>
  <c r="CW73" i="7"/>
  <c r="CW74" i="7"/>
  <c r="CW75" i="7"/>
  <c r="CW76" i="7"/>
  <c r="CW77" i="7"/>
  <c r="CW80" i="7"/>
  <c r="CW81" i="7"/>
  <c r="CW82" i="7"/>
  <c r="CW85" i="7"/>
  <c r="CW67" i="6"/>
  <c r="CW68" i="6"/>
  <c r="CW75" i="6"/>
  <c r="CW77" i="6" s="1"/>
  <c r="CW80" i="6"/>
  <c r="CX74" i="6" s="1"/>
  <c r="CX79" i="6" s="1"/>
  <c r="CW86" i="6"/>
  <c r="CW92" i="6" s="1"/>
  <c r="CW88" i="6"/>
  <c r="CX83" i="6" s="1"/>
  <c r="CW95" i="6"/>
  <c r="CX91" i="6" s="1"/>
  <c r="CX94" i="6" s="1"/>
  <c r="CW100" i="6"/>
  <c r="CW107" i="6"/>
  <c r="CX105" i="6" s="1"/>
  <c r="CX106" i="6" s="1"/>
  <c r="CW37" i="6"/>
  <c r="CW58" i="6"/>
  <c r="CW7" i="6"/>
  <c r="CW8" i="7" s="1"/>
  <c r="CW13" i="6"/>
  <c r="CW31" i="6" s="1"/>
  <c r="CW23" i="6"/>
  <c r="CW48" i="5"/>
  <c r="CW51" i="5"/>
  <c r="CW52" i="5"/>
  <c r="CW53" i="5"/>
  <c r="CW55" i="5"/>
  <c r="CW56" i="5"/>
  <c r="CW60" i="5"/>
  <c r="CW64" i="5"/>
  <c r="CW66" i="5"/>
  <c r="CW70" i="5"/>
  <c r="CW13" i="5"/>
  <c r="CW15" i="5" s="1"/>
  <c r="CW21" i="5"/>
  <c r="CW26" i="5"/>
  <c r="CW32" i="5"/>
  <c r="CW48" i="6" l="1"/>
  <c r="CX72" i="7"/>
  <c r="CX86" i="7"/>
  <c r="CX44" i="7"/>
  <c r="CW69" i="6"/>
  <c r="CW64" i="6"/>
  <c r="CW52" i="7"/>
  <c r="CW60" i="6"/>
  <c r="CW54" i="5"/>
  <c r="CW57" i="5" s="1"/>
  <c r="CW33" i="5"/>
  <c r="CX71" i="6" l="1"/>
  <c r="CX58" i="5"/>
  <c r="CW37" i="5"/>
  <c r="CW45" i="7"/>
  <c r="CW46" i="7" s="1"/>
  <c r="CW47" i="7" l="1"/>
  <c r="CX23" i="7"/>
  <c r="CY59" i="7"/>
  <c r="CX21" i="7"/>
  <c r="CW39" i="5"/>
  <c r="CW84" i="6" s="1"/>
  <c r="CQ5" i="10"/>
  <c r="CP5" i="10"/>
  <c r="CO5" i="10"/>
  <c r="CN5" i="10"/>
  <c r="U11" i="9"/>
  <c r="U10" i="9"/>
  <c r="U9" i="9"/>
  <c r="CQ49" i="9"/>
  <c r="CP49" i="9"/>
  <c r="CO49" i="9"/>
  <c r="CN49" i="9"/>
  <c r="CQ41" i="9"/>
  <c r="CP41" i="9"/>
  <c r="CO41" i="9"/>
  <c r="CN41" i="9"/>
  <c r="CQ11" i="9"/>
  <c r="CP11" i="9"/>
  <c r="CO11" i="9"/>
  <c r="CN11" i="9"/>
  <c r="CQ10" i="9"/>
  <c r="CP10" i="9"/>
  <c r="CO10" i="9"/>
  <c r="CN10" i="9"/>
  <c r="CQ9" i="9"/>
  <c r="CP9" i="9"/>
  <c r="CO9" i="9"/>
  <c r="CN9" i="9"/>
  <c r="CQ7" i="9"/>
  <c r="CQ67" i="9" s="1"/>
  <c r="CQ82" i="9" s="1"/>
  <c r="CQ96" i="9" s="1"/>
  <c r="CQ118" i="9" s="1"/>
  <c r="CQ126" i="9" s="1"/>
  <c r="CQ140" i="9" s="1"/>
  <c r="CQ90" i="9" s="1"/>
  <c r="CP7" i="9"/>
  <c r="CP67" i="9" s="1"/>
  <c r="CP82" i="9" s="1"/>
  <c r="CP96" i="9" s="1"/>
  <c r="CP118" i="9" s="1"/>
  <c r="CP126" i="9" s="1"/>
  <c r="CP140" i="9" s="1"/>
  <c r="CP90" i="9" s="1"/>
  <c r="CO7" i="9"/>
  <c r="CO67" i="9" s="1"/>
  <c r="CO82" i="9" s="1"/>
  <c r="CO96" i="9" s="1"/>
  <c r="CO118" i="9" s="1"/>
  <c r="CO126" i="9" s="1"/>
  <c r="CO140" i="9" s="1"/>
  <c r="CO90" i="9" s="1"/>
  <c r="CN7" i="9"/>
  <c r="CN67" i="9" s="1"/>
  <c r="CN82" i="9" s="1"/>
  <c r="CN96" i="9" s="1"/>
  <c r="CN118" i="9" s="1"/>
  <c r="CN126" i="9" s="1"/>
  <c r="CN140" i="9" s="1"/>
  <c r="CN90" i="9" s="1"/>
  <c r="Z8" i="7"/>
  <c r="U5" i="10" s="1"/>
  <c r="Z103" i="6"/>
  <c r="Z98" i="6"/>
  <c r="Z94" i="6"/>
  <c r="Z93" i="6"/>
  <c r="Z87" i="6"/>
  <c r="Z86" i="6"/>
  <c r="Z79" i="6"/>
  <c r="CW41" i="5" l="1"/>
  <c r="CQ15" i="9"/>
  <c r="CQ53" i="9"/>
  <c r="CO15" i="9"/>
  <c r="CO53" i="9"/>
  <c r="CN15" i="9"/>
  <c r="CP15" i="9"/>
  <c r="CN53" i="9"/>
  <c r="CP53" i="9"/>
  <c r="Z7" i="6"/>
  <c r="DU7" i="6"/>
  <c r="DU8" i="7" s="1"/>
  <c r="DV7" i="6"/>
  <c r="DV8" i="7" s="1"/>
  <c r="DW7" i="6"/>
  <c r="DW8" i="7" s="1"/>
  <c r="DX7" i="6"/>
  <c r="DX8" i="7" s="1"/>
  <c r="DU92" i="6"/>
  <c r="DV92" i="6"/>
  <c r="DW92" i="6"/>
  <c r="DX92" i="6"/>
  <c r="DU100" i="6"/>
  <c r="DV100" i="6"/>
  <c r="DW100" i="6"/>
  <c r="DX100" i="6"/>
  <c r="DU106" i="6"/>
  <c r="DV106" i="6"/>
  <c r="DW106" i="6"/>
  <c r="DX106" i="6"/>
  <c r="Z40" i="5"/>
  <c r="U49" i="9" s="1"/>
  <c r="Z35" i="5"/>
  <c r="U41" i="9" s="1"/>
  <c r="Z48" i="5"/>
  <c r="DU48" i="5"/>
  <c r="DV48" i="5"/>
  <c r="DW48" i="5"/>
  <c r="DX48" i="5"/>
  <c r="DX64" i="6" l="1"/>
  <c r="DV64" i="6"/>
  <c r="Z106" i="6"/>
  <c r="Z104" i="6" s="1"/>
  <c r="Z100" i="6"/>
  <c r="Z99" i="6" s="1"/>
  <c r="Z92" i="6"/>
  <c r="DW64" i="6"/>
  <c r="DU64" i="6"/>
  <c r="Z64" i="6"/>
  <c r="U7" i="9"/>
  <c r="U67" i="9" l="1"/>
  <c r="U82" i="9" s="1"/>
  <c r="U96" i="9" s="1"/>
  <c r="U118" i="9" s="1"/>
  <c r="U126" i="9" s="1"/>
  <c r="U140" i="9" s="1"/>
  <c r="U90" i="9" s="1"/>
  <c r="U53" i="9"/>
  <c r="U15" i="9"/>
  <c r="CV17" i="6"/>
  <c r="CU17" i="6"/>
  <c r="CW29" i="7" l="1"/>
  <c r="CW56" i="7"/>
  <c r="CV36" i="5"/>
  <c r="CV19" i="5"/>
  <c r="CV31" i="5" l="1"/>
  <c r="BO32" i="9" s="1"/>
  <c r="CV20" i="5"/>
  <c r="CW30" i="7" s="1"/>
  <c r="CU20" i="5"/>
  <c r="BO5" i="10"/>
  <c r="BO7" i="9"/>
  <c r="BO53" i="9" s="1"/>
  <c r="BO9" i="9"/>
  <c r="BO10" i="9"/>
  <c r="BO11" i="9"/>
  <c r="BO12" i="9"/>
  <c r="BO13" i="9"/>
  <c r="BO17" i="9"/>
  <c r="BO18" i="9"/>
  <c r="BO22" i="9"/>
  <c r="BO26" i="9"/>
  <c r="BO28" i="9"/>
  <c r="BO29" i="9"/>
  <c r="BO30" i="9"/>
  <c r="BO31" i="9"/>
  <c r="BO36" i="9"/>
  <c r="BO40" i="9"/>
  <c r="BO41" i="9"/>
  <c r="BO45" i="9"/>
  <c r="BO49" i="9"/>
  <c r="BO67" i="9"/>
  <c r="BO82" i="9" s="1"/>
  <c r="BO96" i="9" s="1"/>
  <c r="BO118" i="9" s="1"/>
  <c r="BO126" i="9" s="1"/>
  <c r="BO140" i="9" s="1"/>
  <c r="BO90" i="9" s="1"/>
  <c r="BO99" i="9"/>
  <c r="BO105" i="9"/>
  <c r="BO153" i="9"/>
  <c r="CV27" i="7"/>
  <c r="CV28" i="7"/>
  <c r="CV29" i="7"/>
  <c r="CV33" i="7"/>
  <c r="CV34" i="7"/>
  <c r="CV35" i="7"/>
  <c r="CV40" i="7"/>
  <c r="CV53" i="7"/>
  <c r="CV54" i="7"/>
  <c r="CV55" i="7"/>
  <c r="CV56" i="7"/>
  <c r="CV60" i="7"/>
  <c r="CV64" i="7"/>
  <c r="CV65" i="7"/>
  <c r="CV68" i="7"/>
  <c r="CV69" i="7"/>
  <c r="CV73" i="7"/>
  <c r="CV74" i="7"/>
  <c r="CV75" i="7"/>
  <c r="CV76" i="7"/>
  <c r="CV77" i="7"/>
  <c r="CV80" i="7"/>
  <c r="CV81" i="7"/>
  <c r="CV82" i="7"/>
  <c r="CV67" i="6"/>
  <c r="BO101" i="9" s="1"/>
  <c r="CV68" i="6"/>
  <c r="CV75" i="6"/>
  <c r="CV77" i="6" s="1"/>
  <c r="CV80" i="6"/>
  <c r="CV86" i="6"/>
  <c r="CV92" i="6" s="1"/>
  <c r="CV88" i="6"/>
  <c r="CW83" i="6" s="1"/>
  <c r="CV95" i="6"/>
  <c r="CW91" i="6" s="1"/>
  <c r="CW94" i="6" s="1"/>
  <c r="CV100" i="6"/>
  <c r="CV107" i="6"/>
  <c r="CW105" i="6" s="1"/>
  <c r="CW106" i="6" s="1"/>
  <c r="CV37" i="6"/>
  <c r="CV58" i="6"/>
  <c r="CV7" i="6"/>
  <c r="CV64" i="6" s="1"/>
  <c r="CV13" i="6"/>
  <c r="CV23" i="6"/>
  <c r="CV51" i="5"/>
  <c r="CV52" i="5"/>
  <c r="CV53" i="5"/>
  <c r="CV54" i="5"/>
  <c r="CV55" i="5"/>
  <c r="CV56" i="5"/>
  <c r="CV60" i="5"/>
  <c r="CV70" i="5"/>
  <c r="CV48" i="5"/>
  <c r="CV13" i="5"/>
  <c r="CV15" i="5" s="1"/>
  <c r="CV26" i="5"/>
  <c r="BO27" i="9" s="1"/>
  <c r="CV32" i="5"/>
  <c r="BO20" i="9" l="1"/>
  <c r="BO15" i="9"/>
  <c r="BO91" i="9"/>
  <c r="BO24" i="9"/>
  <c r="BO78" i="9"/>
  <c r="BO107" i="9"/>
  <c r="CW72" i="7"/>
  <c r="CV31" i="6"/>
  <c r="BO122" i="9" s="1"/>
  <c r="BO111" i="9"/>
  <c r="CW44" i="7"/>
  <c r="CW86" i="7"/>
  <c r="BO103" i="9"/>
  <c r="BO144" i="9" s="1"/>
  <c r="CZ24" i="7"/>
  <c r="CZ61" i="7"/>
  <c r="CW74" i="6"/>
  <c r="CW79" i="6" s="1"/>
  <c r="CV69" i="6"/>
  <c r="CW71" i="6" s="1"/>
  <c r="CV21" i="5"/>
  <c r="CV30" i="7"/>
  <c r="BO76" i="9"/>
  <c r="CV32" i="7"/>
  <c r="CV48" i="6"/>
  <c r="BO109" i="9" s="1"/>
  <c r="BO142" i="9"/>
  <c r="BO154" i="9" s="1"/>
  <c r="BO92" i="9"/>
  <c r="BO93" i="9" s="1"/>
  <c r="BO75" i="9" s="1"/>
  <c r="BO34" i="9"/>
  <c r="BO38" i="9" s="1"/>
  <c r="BO141" i="9"/>
  <c r="BO121" i="9"/>
  <c r="CV57" i="5"/>
  <c r="CV33" i="5"/>
  <c r="CV60" i="6" l="1"/>
  <c r="CW23" i="7"/>
  <c r="CX59" i="7"/>
  <c r="CW38" i="7"/>
  <c r="CW39" i="7"/>
  <c r="CW41" i="7"/>
  <c r="BO97" i="9"/>
  <c r="BO123" i="9" s="1"/>
  <c r="CV52" i="7"/>
  <c r="BO113" i="9"/>
  <c r="CW58" i="5"/>
  <c r="BO147" i="9"/>
  <c r="BO143" i="9"/>
  <c r="BO145" i="9"/>
  <c r="BO146" i="9"/>
  <c r="BO43" i="9"/>
  <c r="BO47" i="9" s="1"/>
  <c r="BO80" i="9"/>
  <c r="CV45" i="7"/>
  <c r="CV46" i="7" s="1"/>
  <c r="BO151" i="9"/>
  <c r="CV37" i="5"/>
  <c r="BO120" i="9" l="1"/>
  <c r="BO119" i="9"/>
  <c r="CW21" i="7"/>
  <c r="CV47" i="7"/>
  <c r="BO51" i="9"/>
  <c r="CV39" i="5"/>
  <c r="CV41" i="5" l="1"/>
  <c r="CV84" i="6"/>
  <c r="DU77" i="7" l="1"/>
  <c r="DU55" i="7"/>
  <c r="DU75" i="7"/>
  <c r="DU54" i="7"/>
  <c r="DU28" i="7"/>
  <c r="DU69" i="7"/>
  <c r="DU53" i="7"/>
  <c r="DU85" i="7"/>
  <c r="DU56" i="7"/>
  <c r="DU35" i="7"/>
  <c r="CN13" i="9"/>
  <c r="CN12" i="9"/>
  <c r="CO13" i="9" l="1"/>
  <c r="CO12" i="9"/>
  <c r="CU57" i="6"/>
  <c r="CP13" i="9" l="1"/>
  <c r="DV75" i="7"/>
  <c r="DV54" i="7"/>
  <c r="DV28" i="7"/>
  <c r="DV69" i="7"/>
  <c r="DV53" i="7"/>
  <c r="DV85" i="7"/>
  <c r="DV56" i="7"/>
  <c r="DV35" i="7"/>
  <c r="DV77" i="7"/>
  <c r="DV55" i="7"/>
  <c r="CQ13" i="9"/>
  <c r="CP12" i="9"/>
  <c r="BN5" i="10"/>
  <c r="DW77" i="7" l="1"/>
  <c r="DW55" i="7"/>
  <c r="DW75" i="7"/>
  <c r="DW54" i="7"/>
  <c r="DW28" i="7"/>
  <c r="DW69" i="7"/>
  <c r="DW53" i="7"/>
  <c r="DW85" i="7"/>
  <c r="DW56" i="7"/>
  <c r="DW35" i="7"/>
  <c r="CQ12" i="9"/>
  <c r="CU47" i="6"/>
  <c r="CU11" i="6"/>
  <c r="DX75" i="7" l="1"/>
  <c r="DX54" i="7"/>
  <c r="DX28" i="7"/>
  <c r="DX69" i="7"/>
  <c r="DX53" i="7"/>
  <c r="DX56" i="7"/>
  <c r="DX77" i="7"/>
  <c r="DX85" i="7"/>
  <c r="DX35" i="7"/>
  <c r="DX55" i="7"/>
  <c r="U12" i="9"/>
  <c r="U13" i="9"/>
  <c r="CV85" i="7"/>
  <c r="BN7" i="9" l="1"/>
  <c r="BN67" i="9" s="1"/>
  <c r="BN82" i="9" s="1"/>
  <c r="BN96" i="9" s="1"/>
  <c r="BN118" i="9" s="1"/>
  <c r="BN126" i="9" s="1"/>
  <c r="BN140" i="9" s="1"/>
  <c r="BN90" i="9" s="1"/>
  <c r="BN9" i="9"/>
  <c r="BN10" i="9"/>
  <c r="BN11" i="9"/>
  <c r="BN12" i="9"/>
  <c r="BN13" i="9"/>
  <c r="BN15" i="9"/>
  <c r="BN17" i="9"/>
  <c r="BN18" i="9"/>
  <c r="BN22" i="9"/>
  <c r="BO84" i="9" s="1"/>
  <c r="BN26" i="9"/>
  <c r="BO85" i="9" s="1"/>
  <c r="BN28" i="9"/>
  <c r="BN29" i="9"/>
  <c r="BN30" i="9"/>
  <c r="BN31" i="9"/>
  <c r="BN32" i="9"/>
  <c r="BN36" i="9"/>
  <c r="BN40" i="9"/>
  <c r="BN41" i="9"/>
  <c r="BN45" i="9"/>
  <c r="BN49" i="9"/>
  <c r="BN53" i="9"/>
  <c r="BN99" i="9"/>
  <c r="BN141" i="9" s="1"/>
  <c r="BN105" i="9"/>
  <c r="BN153" i="9"/>
  <c r="CU85" i="7"/>
  <c r="CU82" i="7"/>
  <c r="CU81" i="7"/>
  <c r="CU80" i="7"/>
  <c r="CU77" i="7"/>
  <c r="CU76" i="7"/>
  <c r="CU75" i="7"/>
  <c r="CU74" i="7"/>
  <c r="CU73" i="7"/>
  <c r="CU68" i="7"/>
  <c r="CU65" i="7"/>
  <c r="CU64" i="7"/>
  <c r="CU60" i="7"/>
  <c r="CU56" i="7"/>
  <c r="CU55" i="7"/>
  <c r="CU54" i="7"/>
  <c r="CU53" i="7"/>
  <c r="CU40" i="7"/>
  <c r="CU35" i="7"/>
  <c r="CU34" i="7"/>
  <c r="CU33" i="7"/>
  <c r="CU29" i="7"/>
  <c r="CU28" i="7"/>
  <c r="CU27" i="7"/>
  <c r="CU67" i="6"/>
  <c r="BN101" i="9" s="1"/>
  <c r="BO102" i="9" s="1"/>
  <c r="CU68" i="6"/>
  <c r="CU75" i="6"/>
  <c r="CU77" i="6" s="1"/>
  <c r="CU80" i="6"/>
  <c r="CU86" i="6"/>
  <c r="CU92" i="6" s="1"/>
  <c r="CU88" i="6"/>
  <c r="CV83" i="6" s="1"/>
  <c r="CU95" i="6"/>
  <c r="CV91" i="6" s="1"/>
  <c r="CV94" i="6" s="1"/>
  <c r="CU100" i="6"/>
  <c r="CU107" i="6"/>
  <c r="CV105" i="6" s="1"/>
  <c r="CV106" i="6" s="1"/>
  <c r="CU13" i="6"/>
  <c r="CU23" i="6"/>
  <c r="CU37" i="6"/>
  <c r="CU58" i="6"/>
  <c r="CU7" i="6"/>
  <c r="CU8" i="7" s="1"/>
  <c r="CU51" i="5"/>
  <c r="CU52" i="5"/>
  <c r="CU53" i="5"/>
  <c r="CU54" i="5"/>
  <c r="CU55" i="5"/>
  <c r="CU56" i="5"/>
  <c r="CU60" i="5"/>
  <c r="CU63" i="5"/>
  <c r="CU64" i="5"/>
  <c r="CU65" i="5"/>
  <c r="CU66" i="5"/>
  <c r="CU70" i="5"/>
  <c r="CU13" i="5"/>
  <c r="CU15" i="5" s="1"/>
  <c r="CU21" i="5"/>
  <c r="CU26" i="5"/>
  <c r="BN27" i="9" s="1"/>
  <c r="CU32" i="5"/>
  <c r="BO87" i="9" l="1"/>
  <c r="CU32" i="7"/>
  <c r="CU31" i="6"/>
  <c r="CV74" i="6"/>
  <c r="CV79" i="6" s="1"/>
  <c r="CY61" i="7"/>
  <c r="CY24" i="7"/>
  <c r="BO86" i="9"/>
  <c r="BN20" i="9"/>
  <c r="BO83" i="9" s="1"/>
  <c r="CV44" i="7"/>
  <c r="CV86" i="7"/>
  <c r="CU48" i="6"/>
  <c r="BN109" i="9" s="1"/>
  <c r="BO110" i="9" s="1"/>
  <c r="CV72" i="7"/>
  <c r="CU69" i="7"/>
  <c r="CU69" i="6"/>
  <c r="BN107" i="9"/>
  <c r="BO108" i="9" s="1"/>
  <c r="BN103" i="9"/>
  <c r="BO133" i="9"/>
  <c r="BO100" i="9"/>
  <c r="BN142" i="9"/>
  <c r="BN143" i="9" s="1"/>
  <c r="BO135" i="9"/>
  <c r="BO106" i="9"/>
  <c r="CU64" i="6"/>
  <c r="BN92" i="9"/>
  <c r="BN111" i="9"/>
  <c r="CU67" i="5"/>
  <c r="CU57" i="5"/>
  <c r="CU33" i="5"/>
  <c r="BN121" i="9" l="1"/>
  <c r="BN147" i="9"/>
  <c r="BN76" i="9"/>
  <c r="BN91" i="9"/>
  <c r="BN93" i="9" s="1"/>
  <c r="BO94" i="9" s="1"/>
  <c r="CU60" i="6"/>
  <c r="CU62" i="6" s="1"/>
  <c r="BN154" i="9"/>
  <c r="BO149" i="9" s="1"/>
  <c r="BO150" i="9" s="1"/>
  <c r="BO156" i="9" s="1"/>
  <c r="BN78" i="9"/>
  <c r="BN24" i="9"/>
  <c r="BN34" i="9" s="1"/>
  <c r="BN38" i="9" s="1"/>
  <c r="BN43" i="9" s="1"/>
  <c r="BN47" i="9" s="1"/>
  <c r="BO88" i="9" s="1"/>
  <c r="BO104" i="9"/>
  <c r="BN144" i="9"/>
  <c r="CV71" i="6"/>
  <c r="CW59" i="7" s="1"/>
  <c r="CV41" i="7"/>
  <c r="CV38" i="7"/>
  <c r="CV39" i="7"/>
  <c r="BN97" i="9"/>
  <c r="BN123" i="9" s="1"/>
  <c r="BN122" i="9"/>
  <c r="CU52" i="7"/>
  <c r="BO137" i="9"/>
  <c r="BO112" i="9"/>
  <c r="BO79" i="9"/>
  <c r="CV58" i="5"/>
  <c r="BN113" i="9"/>
  <c r="BN115" i="9"/>
  <c r="CU37" i="5"/>
  <c r="CU45" i="7"/>
  <c r="CU47" i="7" s="1"/>
  <c r="BN75" i="9"/>
  <c r="BN151" i="9" l="1"/>
  <c r="BO152" i="9" s="1"/>
  <c r="BO155" i="9"/>
  <c r="BN80" i="9"/>
  <c r="BO68" i="9"/>
  <c r="CV23" i="7"/>
  <c r="BN145" i="9"/>
  <c r="BN146" i="9"/>
  <c r="BO98" i="9"/>
  <c r="BN119" i="9"/>
  <c r="BO131" i="9"/>
  <c r="BN120" i="9"/>
  <c r="BO127" i="9"/>
  <c r="BO114" i="9"/>
  <c r="CV21" i="7"/>
  <c r="CU46" i="7"/>
  <c r="CU39" i="5"/>
  <c r="BN51" i="9"/>
  <c r="BO9" i="10" l="1"/>
  <c r="BO15" i="10"/>
  <c r="BO8" i="10"/>
  <c r="BO14" i="10"/>
  <c r="BO17" i="10"/>
  <c r="BO74" i="9"/>
  <c r="BO20" i="10"/>
  <c r="BO69" i="9"/>
  <c r="BO13" i="10"/>
  <c r="BO23" i="10"/>
  <c r="BO11" i="10"/>
  <c r="BO16" i="10"/>
  <c r="BO21" i="10"/>
  <c r="BO77" i="9"/>
  <c r="BO18" i="10"/>
  <c r="BO71" i="9"/>
  <c r="BO70" i="9"/>
  <c r="CU84" i="6"/>
  <c r="CU41" i="5"/>
  <c r="BO10" i="10" l="1"/>
  <c r="BO12" i="10" s="1"/>
  <c r="BO19" i="10" l="1"/>
  <c r="BO22" i="10" s="1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O24" i="10" l="1"/>
  <c r="CT85" i="7" l="1"/>
  <c r="CT82" i="7"/>
  <c r="CT81" i="7"/>
  <c r="CT80" i="7"/>
  <c r="CT77" i="7"/>
  <c r="CT76" i="7"/>
  <c r="CT75" i="7"/>
  <c r="CT74" i="7"/>
  <c r="CT73" i="7"/>
  <c r="CT69" i="7"/>
  <c r="CT68" i="7"/>
  <c r="CT65" i="7"/>
  <c r="CT64" i="7"/>
  <c r="CT60" i="7"/>
  <c r="CT56" i="7"/>
  <c r="CT55" i="7"/>
  <c r="CT54" i="7"/>
  <c r="CT53" i="7"/>
  <c r="CT40" i="7"/>
  <c r="CT35" i="7"/>
  <c r="CT34" i="7"/>
  <c r="CT33" i="7"/>
  <c r="CT29" i="7"/>
  <c r="CT28" i="7"/>
  <c r="CT27" i="7"/>
  <c r="CT107" i="6"/>
  <c r="CT100" i="6"/>
  <c r="CT95" i="6"/>
  <c r="CT88" i="6"/>
  <c r="CU83" i="6" s="1"/>
  <c r="CT86" i="6"/>
  <c r="CT92" i="6" s="1"/>
  <c r="CT80" i="6"/>
  <c r="CT75" i="6"/>
  <c r="CT77" i="6" s="1"/>
  <c r="CT68" i="6"/>
  <c r="CT67" i="6"/>
  <c r="CT58" i="6"/>
  <c r="CT37" i="6"/>
  <c r="CT23" i="6"/>
  <c r="CT13" i="6"/>
  <c r="CT7" i="6"/>
  <c r="CT64" i="6" s="1"/>
  <c r="CT70" i="5"/>
  <c r="CT66" i="5"/>
  <c r="CT64" i="5"/>
  <c r="CT60" i="5"/>
  <c r="CT56" i="5"/>
  <c r="CT55" i="5"/>
  <c r="CT54" i="5"/>
  <c r="CT53" i="5"/>
  <c r="CT52" i="5"/>
  <c r="CT51" i="5"/>
  <c r="CT20" i="5"/>
  <c r="CU74" i="6" l="1"/>
  <c r="CU79" i="6" s="1"/>
  <c r="CX24" i="7"/>
  <c r="CX61" i="7"/>
  <c r="CT31" i="6"/>
  <c r="CU41" i="7" s="1"/>
  <c r="CU30" i="7"/>
  <c r="CT48" i="6"/>
  <c r="CT60" i="6" s="1"/>
  <c r="CT62" i="6" s="1"/>
  <c r="CU72" i="7"/>
  <c r="CU105" i="6"/>
  <c r="CU106" i="6" s="1"/>
  <c r="CU86" i="7"/>
  <c r="CU44" i="7"/>
  <c r="CT69" i="6"/>
  <c r="CU71" i="6" s="1"/>
  <c r="CU91" i="6"/>
  <c r="CU94" i="6" s="1"/>
  <c r="CT57" i="5"/>
  <c r="CT52" i="7" l="1"/>
  <c r="CU39" i="7"/>
  <c r="CU38" i="7"/>
  <c r="CU23" i="7"/>
  <c r="CV59" i="7"/>
  <c r="CU58" i="5"/>
  <c r="CU21" i="7" l="1"/>
  <c r="CS36" i="5" l="1"/>
  <c r="CS19" i="5"/>
  <c r="CS43" i="5" l="1"/>
  <c r="T11" i="9" l="1"/>
  <c r="T10" i="9"/>
  <c r="T9" i="9"/>
  <c r="X8" i="7"/>
  <c r="W8" i="7"/>
  <c r="V8" i="7"/>
  <c r="U8" i="7"/>
  <c r="T8" i="7"/>
  <c r="O5" i="10" s="1"/>
  <c r="Y8" i="7"/>
  <c r="T5" i="10" s="1"/>
  <c r="Y103" i="6"/>
  <c r="Y98" i="6"/>
  <c r="Y94" i="6"/>
  <c r="Y93" i="6"/>
  <c r="Y87" i="6"/>
  <c r="Y86" i="6"/>
  <c r="Y79" i="6"/>
  <c r="Y7" i="6"/>
  <c r="Y64" i="6" s="1"/>
  <c r="Y40" i="5"/>
  <c r="T49" i="9" s="1"/>
  <c r="Y35" i="5"/>
  <c r="T41" i="9" s="1"/>
  <c r="Y48" i="5"/>
  <c r="CM5" i="10"/>
  <c r="CL5" i="10"/>
  <c r="CK5" i="10"/>
  <c r="CJ5" i="10"/>
  <c r="CM49" i="9"/>
  <c r="CL49" i="9"/>
  <c r="CK49" i="9"/>
  <c r="CJ49" i="9"/>
  <c r="CM41" i="9"/>
  <c r="CL41" i="9"/>
  <c r="CK41" i="9"/>
  <c r="CJ41" i="9"/>
  <c r="CM10" i="9"/>
  <c r="CL10" i="9"/>
  <c r="CK10" i="9"/>
  <c r="CJ10" i="9"/>
  <c r="CM9" i="9"/>
  <c r="CL9" i="9"/>
  <c r="CK9" i="9"/>
  <c r="CJ9" i="9"/>
  <c r="CM7" i="9"/>
  <c r="CM67" i="9" s="1"/>
  <c r="CM82" i="9" s="1"/>
  <c r="CM96" i="9" s="1"/>
  <c r="CM118" i="9" s="1"/>
  <c r="CM126" i="9" s="1"/>
  <c r="CM140" i="9" s="1"/>
  <c r="CM90" i="9" s="1"/>
  <c r="CL7" i="9"/>
  <c r="CL67" i="9" s="1"/>
  <c r="CL82" i="9" s="1"/>
  <c r="CL96" i="9" s="1"/>
  <c r="CL118" i="9" s="1"/>
  <c r="CL126" i="9" s="1"/>
  <c r="CL140" i="9" s="1"/>
  <c r="CL90" i="9" s="1"/>
  <c r="CK7" i="9"/>
  <c r="CK67" i="9" s="1"/>
  <c r="CK82" i="9" s="1"/>
  <c r="CK96" i="9" s="1"/>
  <c r="CK118" i="9" s="1"/>
  <c r="CK126" i="9" s="1"/>
  <c r="CK140" i="9" s="1"/>
  <c r="CK90" i="9" s="1"/>
  <c r="CJ7" i="9"/>
  <c r="CJ67" i="9" s="1"/>
  <c r="CJ82" i="9" s="1"/>
  <c r="CJ96" i="9" s="1"/>
  <c r="CJ118" i="9" s="1"/>
  <c r="CJ126" i="9" s="1"/>
  <c r="CJ140" i="9" s="1"/>
  <c r="CJ90" i="9" s="1"/>
  <c r="DT106" i="6"/>
  <c r="DS106" i="6"/>
  <c r="DR106" i="6"/>
  <c r="DQ106" i="6"/>
  <c r="DT100" i="6"/>
  <c r="DS100" i="6"/>
  <c r="DR100" i="6"/>
  <c r="DQ100" i="6"/>
  <c r="DT92" i="6"/>
  <c r="DS92" i="6"/>
  <c r="DR92" i="6"/>
  <c r="DQ92" i="6"/>
  <c r="DT7" i="6"/>
  <c r="DT64" i="6" s="1"/>
  <c r="DS7" i="6"/>
  <c r="DS64" i="6" s="1"/>
  <c r="DR7" i="6"/>
  <c r="DR64" i="6" s="1"/>
  <c r="DQ7" i="6"/>
  <c r="DQ8" i="7" s="1"/>
  <c r="DT48" i="5"/>
  <c r="DS48" i="5"/>
  <c r="DR48" i="5"/>
  <c r="DQ48" i="5"/>
  <c r="Y106" i="6" l="1"/>
  <c r="Y104" i="6" s="1"/>
  <c r="Y92" i="6"/>
  <c r="Y100" i="6"/>
  <c r="Y99" i="6" s="1"/>
  <c r="DQ64" i="6"/>
  <c r="DR8" i="7"/>
  <c r="DT8" i="7"/>
  <c r="DS8" i="7"/>
  <c r="T7" i="9"/>
  <c r="T53" i="9" s="1"/>
  <c r="CK15" i="9"/>
  <c r="CM15" i="9"/>
  <c r="CK53" i="9"/>
  <c r="CM53" i="9"/>
  <c r="CJ15" i="9"/>
  <c r="CL15" i="9"/>
  <c r="CJ53" i="9"/>
  <c r="CL53" i="9"/>
  <c r="BL5" i="10"/>
  <c r="BL105" i="9"/>
  <c r="BL99" i="9"/>
  <c r="BL141" i="9" s="1"/>
  <c r="BL65" i="9"/>
  <c r="BL64" i="9" s="1"/>
  <c r="BL49" i="9"/>
  <c r="BL45" i="9"/>
  <c r="BL41" i="9"/>
  <c r="BL40" i="9"/>
  <c r="BL36" i="9"/>
  <c r="BL31" i="9"/>
  <c r="BL30" i="9"/>
  <c r="BL29" i="9"/>
  <c r="BL28" i="9"/>
  <c r="BL26" i="9"/>
  <c r="BL22" i="9"/>
  <c r="BL18" i="9"/>
  <c r="BL17" i="9"/>
  <c r="BL13" i="9"/>
  <c r="BL12" i="9"/>
  <c r="BL11" i="9"/>
  <c r="BL10" i="9"/>
  <c r="BL9" i="9"/>
  <c r="BL7" i="9"/>
  <c r="BL67" i="9" s="1"/>
  <c r="BL82" i="9" s="1"/>
  <c r="BL96" i="9" s="1"/>
  <c r="BL118" i="9" s="1"/>
  <c r="BL126" i="9" s="1"/>
  <c r="BL140" i="9" s="1"/>
  <c r="BL90" i="9" s="1"/>
  <c r="CS85" i="7"/>
  <c r="CS82" i="7"/>
  <c r="CS81" i="7"/>
  <c r="CS80" i="7"/>
  <c r="CS77" i="7"/>
  <c r="CS76" i="7"/>
  <c r="CS75" i="7"/>
  <c r="CS74" i="7"/>
  <c r="CS73" i="7"/>
  <c r="CS69" i="7"/>
  <c r="CS68" i="7"/>
  <c r="CS65" i="7"/>
  <c r="CS64" i="7"/>
  <c r="CS60" i="7"/>
  <c r="CS56" i="7"/>
  <c r="CS55" i="7"/>
  <c r="CS54" i="7"/>
  <c r="CS53" i="7"/>
  <c r="CS40" i="7"/>
  <c r="CS35" i="7"/>
  <c r="CS34" i="7"/>
  <c r="CS33" i="7"/>
  <c r="CS29" i="7"/>
  <c r="CS28" i="7"/>
  <c r="CS27" i="7"/>
  <c r="CS80" i="6"/>
  <c r="CS107" i="6"/>
  <c r="CT105" i="6" s="1"/>
  <c r="CT106" i="6" s="1"/>
  <c r="CS100" i="6"/>
  <c r="CS95" i="6"/>
  <c r="CT91" i="6" s="1"/>
  <c r="CT94" i="6" s="1"/>
  <c r="CS88" i="6"/>
  <c r="CT83" i="6" s="1"/>
  <c r="CS86" i="6"/>
  <c r="CS92" i="6" s="1"/>
  <c r="CS75" i="6"/>
  <c r="CS77" i="6" s="1"/>
  <c r="CS68" i="6"/>
  <c r="BL142" i="9" s="1"/>
  <c r="BL154" i="9" s="1"/>
  <c r="CS67" i="6"/>
  <c r="CS7" i="6"/>
  <c r="CS23" i="6"/>
  <c r="CS56" i="5"/>
  <c r="CS70" i="5"/>
  <c r="CS66" i="5"/>
  <c r="CS64" i="5"/>
  <c r="CS60" i="5"/>
  <c r="CS55" i="5"/>
  <c r="CS54" i="5"/>
  <c r="CS53" i="5"/>
  <c r="CS52" i="5"/>
  <c r="CS51" i="5"/>
  <c r="CO43" i="5"/>
  <c r="CS20" i="5"/>
  <c r="CS32" i="5"/>
  <c r="CS26" i="5"/>
  <c r="BL27" i="9" s="1"/>
  <c r="CS32" i="7" s="1"/>
  <c r="CS69" i="6" l="1"/>
  <c r="CT71" i="6" s="1"/>
  <c r="CT74" i="6"/>
  <c r="CT79" i="6" s="1"/>
  <c r="CW61" i="7"/>
  <c r="CW24" i="7"/>
  <c r="CS30" i="7"/>
  <c r="CT30" i="7"/>
  <c r="BL32" i="9"/>
  <c r="BL92" i="9" s="1"/>
  <c r="T15" i="9"/>
  <c r="CT23" i="7"/>
  <c r="CU59" i="7"/>
  <c r="BL101" i="9"/>
  <c r="T67" i="9"/>
  <c r="T82" i="9" s="1"/>
  <c r="T96" i="9" s="1"/>
  <c r="T118" i="9" s="1"/>
  <c r="T126" i="9" s="1"/>
  <c r="T140" i="9" s="1"/>
  <c r="T90" i="9" s="1"/>
  <c r="BL103" i="9"/>
  <c r="BL144" i="9" s="1"/>
  <c r="BL53" i="9"/>
  <c r="BL20" i="9"/>
  <c r="BL15" i="9"/>
  <c r="BL143" i="9"/>
  <c r="CS57" i="5"/>
  <c r="CT58" i="5" s="1"/>
  <c r="CT21" i="7" l="1"/>
  <c r="BL113" i="9"/>
  <c r="BL145" i="9"/>
  <c r="BL146" i="9"/>
  <c r="BL91" i="9"/>
  <c r="BL93" i="9" s="1"/>
  <c r="BL78" i="9"/>
  <c r="BL24" i="9"/>
  <c r="BL34" i="9" s="1"/>
  <c r="BL38" i="9" s="1"/>
  <c r="BL76" i="9"/>
  <c r="BL43" i="9" l="1"/>
  <c r="BL47" i="9" s="1"/>
  <c r="BL80" i="9"/>
  <c r="BL75" i="9"/>
  <c r="BL51" i="9" l="1"/>
  <c r="DH85" i="7" l="1"/>
  <c r="DG85" i="7"/>
  <c r="DF85" i="7"/>
  <c r="DE85" i="7"/>
  <c r="DD85" i="7"/>
  <c r="DC85" i="7"/>
  <c r="DB85" i="7"/>
  <c r="DA85" i="7"/>
  <c r="DH77" i="7"/>
  <c r="DG77" i="7"/>
  <c r="DF77" i="7"/>
  <c r="DE77" i="7"/>
  <c r="DD77" i="7"/>
  <c r="DC77" i="7"/>
  <c r="DB77" i="7"/>
  <c r="DA77" i="7"/>
  <c r="DH75" i="7"/>
  <c r="DG75" i="7"/>
  <c r="DF75" i="7"/>
  <c r="DE75" i="7"/>
  <c r="DD75" i="7"/>
  <c r="DH69" i="7"/>
  <c r="DG69" i="7"/>
  <c r="DF69" i="7"/>
  <c r="DE69" i="7"/>
  <c r="DD69" i="7"/>
  <c r="DC69" i="7"/>
  <c r="DB69" i="7"/>
  <c r="DA69" i="7"/>
  <c r="DH56" i="7"/>
  <c r="DG56" i="7"/>
  <c r="DF56" i="7"/>
  <c r="DE56" i="7"/>
  <c r="DD56" i="7"/>
  <c r="DC56" i="7"/>
  <c r="DB56" i="7"/>
  <c r="DA56" i="7"/>
  <c r="DH55" i="7"/>
  <c r="DG55" i="7"/>
  <c r="DF55" i="7"/>
  <c r="DE55" i="7"/>
  <c r="DD55" i="7"/>
  <c r="DC55" i="7"/>
  <c r="DB55" i="7"/>
  <c r="DA55" i="7"/>
  <c r="DH54" i="7"/>
  <c r="DG54" i="7"/>
  <c r="DF54" i="7"/>
  <c r="DE54" i="7"/>
  <c r="DD54" i="7"/>
  <c r="DC54" i="7"/>
  <c r="DB54" i="7"/>
  <c r="DA54" i="7"/>
  <c r="DH53" i="7"/>
  <c r="DG53" i="7"/>
  <c r="DF53" i="7"/>
  <c r="DE53" i="7"/>
  <c r="DD53" i="7"/>
  <c r="DC53" i="7"/>
  <c r="DB53" i="7"/>
  <c r="DA53" i="7"/>
  <c r="DA41" i="7"/>
  <c r="DB41" i="7" s="1"/>
  <c r="DC41" i="7" s="1"/>
  <c r="DD41" i="7" s="1"/>
  <c r="DE41" i="7" s="1"/>
  <c r="DF41" i="7" s="1"/>
  <c r="DG41" i="7" s="1"/>
  <c r="DH41" i="7" s="1"/>
  <c r="DI41" i="7" s="1"/>
  <c r="DJ41" i="7" s="1"/>
  <c r="DK41" i="7" s="1"/>
  <c r="DL41" i="7" s="1"/>
  <c r="DM41" i="7" s="1"/>
  <c r="DN41" i="7" s="1"/>
  <c r="DO41" i="7" s="1"/>
  <c r="DP41" i="7" s="1"/>
  <c r="DQ41" i="7" s="1"/>
  <c r="DR41" i="7" s="1"/>
  <c r="DS41" i="7" s="1"/>
  <c r="DT41" i="7" s="1"/>
  <c r="DU41" i="7" s="1"/>
  <c r="DV41" i="7" s="1"/>
  <c r="DW41" i="7" s="1"/>
  <c r="DX41" i="7" s="1"/>
  <c r="DH35" i="7"/>
  <c r="DG35" i="7"/>
  <c r="DF35" i="7"/>
  <c r="DE35" i="7"/>
  <c r="DD35" i="7"/>
  <c r="DC35" i="7"/>
  <c r="DB35" i="7"/>
  <c r="DA35" i="7"/>
  <c r="DH28" i="7"/>
  <c r="DG28" i="7"/>
  <c r="DF28" i="7"/>
  <c r="DE28" i="7"/>
  <c r="DD28" i="7"/>
  <c r="DC28" i="7"/>
  <c r="F18" i="11"/>
  <c r="DA34" i="7" l="1"/>
  <c r="DB34" i="7" s="1"/>
  <c r="DC34" i="7" s="1"/>
  <c r="DD34" i="7" s="1"/>
  <c r="DE34" i="7" s="1"/>
  <c r="DF34" i="7" s="1"/>
  <c r="DG34" i="7" s="1"/>
  <c r="DH34" i="7" s="1"/>
  <c r="DI34" i="7" s="1"/>
  <c r="DJ34" i="7" s="1"/>
  <c r="DK34" i="7" s="1"/>
  <c r="DL34" i="7" s="1"/>
  <c r="DM34" i="7" s="1"/>
  <c r="DN34" i="7" s="1"/>
  <c r="DO34" i="7" s="1"/>
  <c r="DP34" i="7" s="1"/>
  <c r="DQ34" i="7" s="1"/>
  <c r="DR34" i="7" s="1"/>
  <c r="DI85" i="7" l="1"/>
  <c r="DI75" i="7"/>
  <c r="DI56" i="7"/>
  <c r="DI54" i="7"/>
  <c r="DI28" i="7"/>
  <c r="DI77" i="7"/>
  <c r="DI69" i="7"/>
  <c r="DI55" i="7"/>
  <c r="DI53" i="7"/>
  <c r="DI35" i="7"/>
  <c r="CJ11" i="9"/>
  <c r="DJ77" i="7"/>
  <c r="DJ69" i="7"/>
  <c r="DJ55" i="7"/>
  <c r="DJ53" i="7"/>
  <c r="DJ35" i="7"/>
  <c r="DJ85" i="7"/>
  <c r="DJ75" i="7"/>
  <c r="DJ56" i="7"/>
  <c r="DJ54" i="7"/>
  <c r="DJ28" i="7"/>
  <c r="DS34" i="7"/>
  <c r="CK11" i="9" l="1"/>
  <c r="DT34" i="7"/>
  <c r="DU34" i="7" s="1"/>
  <c r="DV34" i="7" s="1"/>
  <c r="DW34" i="7" s="1"/>
  <c r="DX34" i="7" s="1"/>
  <c r="DL77" i="7" l="1"/>
  <c r="DL69" i="7"/>
  <c r="DL55" i="7"/>
  <c r="DL53" i="7"/>
  <c r="DL35" i="7"/>
  <c r="DL85" i="7"/>
  <c r="DL75" i="7"/>
  <c r="DL56" i="7"/>
  <c r="DL54" i="7"/>
  <c r="DL28" i="7"/>
  <c r="DK85" i="7"/>
  <c r="DK75" i="7"/>
  <c r="DK56" i="7"/>
  <c r="DK54" i="7"/>
  <c r="DK28" i="7"/>
  <c r="DK77" i="7"/>
  <c r="DK69" i="7"/>
  <c r="DK55" i="7"/>
  <c r="DK53" i="7"/>
  <c r="DK35" i="7"/>
  <c r="CL11" i="9"/>
  <c r="CR43" i="5"/>
  <c r="CQ43" i="5"/>
  <c r="CP43" i="5"/>
  <c r="CN43" i="5"/>
  <c r="CM43" i="5"/>
  <c r="CL43" i="5"/>
  <c r="CK43" i="5"/>
  <c r="CJ43" i="5"/>
  <c r="CI43" i="5"/>
  <c r="CH43" i="5"/>
  <c r="CG43" i="5"/>
  <c r="CF43" i="5"/>
  <c r="CE43" i="5"/>
  <c r="CD43" i="5"/>
  <c r="CC43" i="5"/>
  <c r="BY43" i="5"/>
  <c r="DM85" i="7" l="1"/>
  <c r="DM75" i="7"/>
  <c r="DM56" i="7"/>
  <c r="DM54" i="7"/>
  <c r="DM28" i="7"/>
  <c r="DM77" i="7"/>
  <c r="DM69" i="7"/>
  <c r="DM55" i="7"/>
  <c r="DM53" i="7"/>
  <c r="DM35" i="7"/>
  <c r="CM11" i="9"/>
  <c r="DN77" i="7" l="1"/>
  <c r="DN69" i="7"/>
  <c r="DN55" i="7"/>
  <c r="DN53" i="7"/>
  <c r="DN35" i="7"/>
  <c r="DN85" i="7"/>
  <c r="DN75" i="7"/>
  <c r="DN56" i="7"/>
  <c r="DN54" i="7"/>
  <c r="DN28" i="7"/>
  <c r="DP48" i="5" l="1"/>
  <c r="DO48" i="5"/>
  <c r="DN48" i="5"/>
  <c r="DM48" i="5"/>
  <c r="DL48" i="5"/>
  <c r="DK48" i="5"/>
  <c r="DJ48" i="5"/>
  <c r="DI48" i="5"/>
  <c r="DH48" i="5"/>
  <c r="DG48" i="5"/>
  <c r="DF48" i="5"/>
  <c r="DE48" i="5"/>
  <c r="DD48" i="5"/>
  <c r="DC48" i="5"/>
  <c r="DB48" i="5"/>
  <c r="DA48" i="5"/>
  <c r="CX48" i="5"/>
  <c r="CU48" i="5"/>
  <c r="CT48" i="5"/>
  <c r="DO85" i="7" l="1"/>
  <c r="DO75" i="7"/>
  <c r="DO56" i="7"/>
  <c r="DO54" i="7"/>
  <c r="DO28" i="7"/>
  <c r="DO77" i="7"/>
  <c r="DO69" i="7"/>
  <c r="DO55" i="7"/>
  <c r="DO53" i="7"/>
  <c r="DO35" i="7"/>
  <c r="DP77" i="7"/>
  <c r="DP69" i="7"/>
  <c r="DP55" i="7"/>
  <c r="DP53" i="7"/>
  <c r="DP35" i="7"/>
  <c r="DP85" i="7"/>
  <c r="DP75" i="7"/>
  <c r="DP56" i="7"/>
  <c r="DP54" i="7"/>
  <c r="DP28" i="7"/>
  <c r="CR78" i="6"/>
  <c r="CQ78" i="6"/>
  <c r="CP78" i="6"/>
  <c r="CO78" i="6"/>
  <c r="CN78" i="6"/>
  <c r="CM78" i="6"/>
  <c r="CL78" i="6"/>
  <c r="CK78" i="6"/>
  <c r="CJ78" i="6"/>
  <c r="CI78" i="6"/>
  <c r="CH78" i="6"/>
  <c r="CG78" i="6"/>
  <c r="CF78" i="6"/>
  <c r="CE78" i="6"/>
  <c r="CD78" i="6"/>
  <c r="CC78" i="6"/>
  <c r="CB78" i="6"/>
  <c r="CA78" i="6"/>
  <c r="BZ78" i="6"/>
  <c r="BY78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C76" i="6"/>
  <c r="CB76" i="6"/>
  <c r="CA76" i="6"/>
  <c r="BZ76" i="6"/>
  <c r="BY76" i="6"/>
  <c r="DP106" i="6"/>
  <c r="DO106" i="6"/>
  <c r="DN106" i="6"/>
  <c r="DM106" i="6"/>
  <c r="DL106" i="6"/>
  <c r="DK106" i="6"/>
  <c r="DJ106" i="6"/>
  <c r="DI106" i="6"/>
  <c r="DH106" i="6"/>
  <c r="DG106" i="6"/>
  <c r="DF106" i="6"/>
  <c r="DE106" i="6"/>
  <c r="DD106" i="6"/>
  <c r="DC106" i="6"/>
  <c r="DB106" i="6"/>
  <c r="DA106" i="6"/>
  <c r="DP100" i="6"/>
  <c r="DO100" i="6"/>
  <c r="DN100" i="6"/>
  <c r="DM100" i="6"/>
  <c r="DL100" i="6"/>
  <c r="DK100" i="6"/>
  <c r="DJ100" i="6"/>
  <c r="DI100" i="6"/>
  <c r="DH100" i="6"/>
  <c r="DG100" i="6"/>
  <c r="DF100" i="6"/>
  <c r="DE100" i="6"/>
  <c r="DD100" i="6"/>
  <c r="DC100" i="6"/>
  <c r="DB100" i="6"/>
  <c r="DA100" i="6"/>
  <c r="DP92" i="6"/>
  <c r="DO92" i="6"/>
  <c r="DN92" i="6"/>
  <c r="DM92" i="6"/>
  <c r="DL92" i="6"/>
  <c r="DK92" i="6"/>
  <c r="DJ92" i="6"/>
  <c r="DI92" i="6"/>
  <c r="DH92" i="6"/>
  <c r="DG92" i="6"/>
  <c r="DF92" i="6"/>
  <c r="DE92" i="6"/>
  <c r="DD92" i="6"/>
  <c r="DC92" i="6"/>
  <c r="DB92" i="6"/>
  <c r="DA92" i="6"/>
  <c r="T13" i="9" l="1"/>
  <c r="T12" i="9"/>
  <c r="CJ12" i="9"/>
  <c r="CJ13" i="9"/>
  <c r="BL153" i="9"/>
  <c r="BL151" i="9" s="1"/>
  <c r="DQ85" i="7" l="1"/>
  <c r="DQ75" i="7"/>
  <c r="DQ56" i="7"/>
  <c r="DQ54" i="7"/>
  <c r="DQ35" i="7"/>
  <c r="DQ28" i="7"/>
  <c r="DQ77" i="7"/>
  <c r="DQ69" i="7"/>
  <c r="DQ55" i="7"/>
  <c r="DQ53" i="7"/>
  <c r="DR77" i="7"/>
  <c r="DR69" i="7"/>
  <c r="DR55" i="7"/>
  <c r="DR53" i="7"/>
  <c r="DR85" i="7"/>
  <c r="DR75" i="7"/>
  <c r="DR56" i="7"/>
  <c r="DR54" i="7"/>
  <c r="DR35" i="7"/>
  <c r="DR28" i="7"/>
  <c r="CK12" i="9"/>
  <c r="CK13" i="9"/>
  <c r="DS85" i="7" l="1"/>
  <c r="DS35" i="7"/>
  <c r="DS55" i="7"/>
  <c r="DS77" i="7"/>
  <c r="DS56" i="7"/>
  <c r="DS28" i="7"/>
  <c r="DS53" i="7"/>
  <c r="DS69" i="7"/>
  <c r="DS54" i="7"/>
  <c r="DS75" i="7"/>
  <c r="CM12" i="9"/>
  <c r="CL12" i="9"/>
  <c r="CL13" i="9"/>
  <c r="DT77" i="7" l="1"/>
  <c r="DT69" i="7"/>
  <c r="DT55" i="7"/>
  <c r="DT53" i="7"/>
  <c r="DT85" i="7"/>
  <c r="DT75" i="7"/>
  <c r="DT56" i="7"/>
  <c r="DT54" i="7"/>
  <c r="DT35" i="7"/>
  <c r="DT28" i="7"/>
  <c r="CM13" i="9"/>
  <c r="A5" i="7" l="1"/>
  <c r="A5" i="6"/>
  <c r="DC23" i="5"/>
  <c r="DG23" i="5" s="1"/>
  <c r="DK23" i="5" s="1"/>
  <c r="DO23" i="5" s="1"/>
  <c r="DS23" i="5" s="1"/>
  <c r="DD23" i="5"/>
  <c r="DH23" i="5" s="1"/>
  <c r="DL23" i="5" s="1"/>
  <c r="DP23" i="5" s="1"/>
  <c r="DT23" i="5" s="1"/>
  <c r="BX80" i="6"/>
  <c r="BW80" i="6"/>
  <c r="BV80" i="6"/>
  <c r="BU80" i="6"/>
  <c r="BT80" i="6"/>
  <c r="BS80" i="6"/>
  <c r="BR80" i="6"/>
  <c r="BQ80" i="6"/>
  <c r="BP80" i="6"/>
  <c r="BO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BX75" i="6"/>
  <c r="BX77" i="6" s="1"/>
  <c r="BW75" i="6"/>
  <c r="BW77" i="6" s="1"/>
  <c r="BV75" i="6"/>
  <c r="BV77" i="6" s="1"/>
  <c r="BU75" i="6"/>
  <c r="BU77" i="6" s="1"/>
  <c r="BT75" i="6"/>
  <c r="BT77" i="6" s="1"/>
  <c r="BS75" i="6"/>
  <c r="BS77" i="6" s="1"/>
  <c r="BR75" i="6"/>
  <c r="BR77" i="6" s="1"/>
  <c r="BQ75" i="6"/>
  <c r="BQ77" i="6" s="1"/>
  <c r="BP75" i="6"/>
  <c r="BP77" i="6" s="1"/>
  <c r="BO75" i="6"/>
  <c r="BO77" i="6" s="1"/>
  <c r="BN75" i="6"/>
  <c r="BN77" i="6" s="1"/>
  <c r="BM75" i="6"/>
  <c r="BM77" i="6" s="1"/>
  <c r="BL75" i="6"/>
  <c r="BL77" i="6" s="1"/>
  <c r="BK75" i="6"/>
  <c r="BK77" i="6" s="1"/>
  <c r="BJ75" i="6"/>
  <c r="BJ77" i="6" s="1"/>
  <c r="BI75" i="6"/>
  <c r="BI77" i="6" s="1"/>
  <c r="BH75" i="6"/>
  <c r="BH77" i="6" s="1"/>
  <c r="BG75" i="6"/>
  <c r="BG77" i="6" s="1"/>
  <c r="BF75" i="6"/>
  <c r="BF77" i="6" s="1"/>
  <c r="BE75" i="6"/>
  <c r="BE77" i="6" s="1"/>
  <c r="BD75" i="6"/>
  <c r="BD77" i="6" s="1"/>
  <c r="BC75" i="6"/>
  <c r="BC77" i="6" s="1"/>
  <c r="BB75" i="6"/>
  <c r="BB77" i="6" s="1"/>
  <c r="BA75" i="6"/>
  <c r="BA77" i="6" s="1"/>
  <c r="AZ75" i="6"/>
  <c r="AZ77" i="6" s="1"/>
  <c r="AY75" i="6"/>
  <c r="AY77" i="6" s="1"/>
  <c r="AX75" i="6"/>
  <c r="AX77" i="6" s="1"/>
  <c r="AW75" i="6"/>
  <c r="AW77" i="6" s="1"/>
  <c r="AV75" i="6"/>
  <c r="AV77" i="6" s="1"/>
  <c r="AU75" i="6"/>
  <c r="AU77" i="6" s="1"/>
  <c r="AT75" i="6"/>
  <c r="AT77" i="6" s="1"/>
  <c r="AS75" i="6"/>
  <c r="AS77" i="6" s="1"/>
  <c r="AR75" i="6"/>
  <c r="AR77" i="6" s="1"/>
  <c r="AQ75" i="6"/>
  <c r="AQ77" i="6" s="1"/>
  <c r="AP75" i="6"/>
  <c r="AP77" i="6" s="1"/>
  <c r="AO75" i="6"/>
  <c r="AO77" i="6" s="1"/>
  <c r="AN75" i="6"/>
  <c r="AN77" i="6" s="1"/>
  <c r="AM75" i="6"/>
  <c r="AM77" i="6" s="1"/>
  <c r="AL75" i="6"/>
  <c r="AL77" i="6" s="1"/>
  <c r="AK75" i="6"/>
  <c r="AK77" i="6" s="1"/>
  <c r="AJ75" i="6"/>
  <c r="AJ77" i="6" s="1"/>
  <c r="AI75" i="6"/>
  <c r="AI77" i="6" s="1"/>
  <c r="AH75" i="6"/>
  <c r="AH77" i="6" s="1"/>
  <c r="AG75" i="6"/>
  <c r="AG77" i="6" s="1"/>
  <c r="AF75" i="6"/>
  <c r="AF77" i="6" s="1"/>
  <c r="AE75" i="6"/>
  <c r="AE77" i="6" s="1"/>
  <c r="AD75" i="6"/>
  <c r="AD77" i="6" s="1"/>
  <c r="BX68" i="6"/>
  <c r="BW68" i="6"/>
  <c r="BV68" i="6"/>
  <c r="BU68" i="6"/>
  <c r="BT68" i="6"/>
  <c r="BS68" i="6"/>
  <c r="BR68" i="6"/>
  <c r="BQ68" i="6"/>
  <c r="BP68" i="6"/>
  <c r="BO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R68" i="6"/>
  <c r="AQ68" i="6"/>
  <c r="AP68" i="6"/>
  <c r="AO68" i="6"/>
  <c r="AN68" i="6"/>
  <c r="AM68" i="6"/>
  <c r="AL68" i="6"/>
  <c r="AK68" i="6"/>
  <c r="AJ68" i="6"/>
  <c r="AI68" i="6"/>
  <c r="AH68" i="6"/>
  <c r="AG68" i="6"/>
  <c r="AF68" i="6"/>
  <c r="AE68" i="6"/>
  <c r="AD68" i="6"/>
  <c r="BX67" i="6"/>
  <c r="BW67" i="6"/>
  <c r="BV67" i="6"/>
  <c r="BU67" i="6"/>
  <c r="BT67" i="6"/>
  <c r="BS67" i="6"/>
  <c r="BR67" i="6"/>
  <c r="BQ67" i="6"/>
  <c r="BP67" i="6"/>
  <c r="BO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R67" i="6"/>
  <c r="AQ67" i="6"/>
  <c r="AP67" i="6"/>
  <c r="AO67" i="6"/>
  <c r="AN67" i="6"/>
  <c r="AM67" i="6"/>
  <c r="AL67" i="6"/>
  <c r="AK67" i="6"/>
  <c r="AJ67" i="6"/>
  <c r="AI67" i="6"/>
  <c r="AH67" i="6"/>
  <c r="AG67" i="6"/>
  <c r="AF67" i="6"/>
  <c r="AE67" i="6"/>
  <c r="AD67" i="6"/>
  <c r="BX62" i="6"/>
  <c r="BW62" i="6"/>
  <c r="BV62" i="6"/>
  <c r="BU62" i="6"/>
  <c r="BT62" i="6"/>
  <c r="BS62" i="6"/>
  <c r="BR62" i="6"/>
  <c r="BQ62" i="6"/>
  <c r="BP62" i="6"/>
  <c r="BO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R62" i="6"/>
  <c r="AQ62" i="6"/>
  <c r="AP62" i="6"/>
  <c r="AO62" i="6"/>
  <c r="AN62" i="6"/>
  <c r="AM62" i="6"/>
  <c r="AL62" i="6"/>
  <c r="AK62" i="6"/>
  <c r="AJ62" i="6"/>
  <c r="AI62" i="6"/>
  <c r="AH62" i="6"/>
  <c r="AG62" i="6"/>
  <c r="AF62" i="6"/>
  <c r="AE62" i="6"/>
  <c r="AD62" i="6"/>
  <c r="AD69" i="6" l="1"/>
  <c r="AF69" i="6"/>
  <c r="AH69" i="6"/>
  <c r="AJ69" i="6"/>
  <c r="AL69" i="6"/>
  <c r="AN69" i="6"/>
  <c r="AP69" i="6"/>
  <c r="AR69" i="6"/>
  <c r="AT69" i="6"/>
  <c r="AV69" i="6"/>
  <c r="AX69" i="6"/>
  <c r="AZ69" i="6"/>
  <c r="BB69" i="6"/>
  <c r="BD69" i="6"/>
  <c r="BF69" i="6"/>
  <c r="BH69" i="6"/>
  <c r="BJ69" i="6"/>
  <c r="BL69" i="6"/>
  <c r="BN69" i="6"/>
  <c r="BP69" i="6"/>
  <c r="BR69" i="6"/>
  <c r="BT69" i="6"/>
  <c r="BV69" i="6"/>
  <c r="BX69" i="6"/>
  <c r="AD79" i="6"/>
  <c r="AF79" i="6"/>
  <c r="AH79" i="6"/>
  <c r="AJ79" i="6"/>
  <c r="AL79" i="6"/>
  <c r="AN79" i="6"/>
  <c r="AP79" i="6"/>
  <c r="AR79" i="6"/>
  <c r="AT79" i="6"/>
  <c r="AV79" i="6"/>
  <c r="AX79" i="6"/>
  <c r="AZ79" i="6"/>
  <c r="BB79" i="6"/>
  <c r="BD79" i="6"/>
  <c r="BF79" i="6"/>
  <c r="BH79" i="6"/>
  <c r="BJ79" i="6"/>
  <c r="BL79" i="6"/>
  <c r="BN79" i="6"/>
  <c r="BP79" i="6"/>
  <c r="BR79" i="6"/>
  <c r="BT79" i="6"/>
  <c r="BV79" i="6"/>
  <c r="BX79" i="6"/>
  <c r="DS24" i="5"/>
  <c r="DW23" i="5"/>
  <c r="DT24" i="5"/>
  <c r="DX23" i="5"/>
  <c r="DX24" i="5" s="1"/>
  <c r="AE69" i="6"/>
  <c r="AG69" i="6"/>
  <c r="AH71" i="6" s="1"/>
  <c r="AI69" i="6"/>
  <c r="AK69" i="6"/>
  <c r="AL71" i="6" s="1"/>
  <c r="AM69" i="6"/>
  <c r="AM71" i="6" s="1"/>
  <c r="AO69" i="6"/>
  <c r="AP71" i="6" s="1"/>
  <c r="AQ69" i="6"/>
  <c r="AS69" i="6"/>
  <c r="AU69" i="6"/>
  <c r="AW69" i="6"/>
  <c r="AY69" i="6"/>
  <c r="BA69" i="6"/>
  <c r="BC69" i="6"/>
  <c r="BE69" i="6"/>
  <c r="BF71" i="6" s="1"/>
  <c r="BG69" i="6"/>
  <c r="BI69" i="6"/>
  <c r="BJ71" i="6" s="1"/>
  <c r="BK69" i="6"/>
  <c r="BK71" i="6" s="1"/>
  <c r="BM69" i="6"/>
  <c r="BN71" i="6" s="1"/>
  <c r="BO69" i="6"/>
  <c r="BQ69" i="6"/>
  <c r="BS69" i="6"/>
  <c r="BU69" i="6"/>
  <c r="BW69" i="6"/>
  <c r="AE79" i="6"/>
  <c r="AG79" i="6"/>
  <c r="AI79" i="6"/>
  <c r="AK79" i="6"/>
  <c r="AM79" i="6"/>
  <c r="AO79" i="6"/>
  <c r="AQ79" i="6"/>
  <c r="AS79" i="6"/>
  <c r="AU79" i="6"/>
  <c r="AW79" i="6"/>
  <c r="AY79" i="6"/>
  <c r="BA79" i="6"/>
  <c r="BC79" i="6"/>
  <c r="BE79" i="6"/>
  <c r="BY13" i="5"/>
  <c r="BY15" i="5" s="1"/>
  <c r="CA13" i="5"/>
  <c r="CA15" i="5" s="1"/>
  <c r="CE13" i="5"/>
  <c r="CE15" i="5" s="1"/>
  <c r="CI13" i="5"/>
  <c r="CI15" i="5" s="1"/>
  <c r="CM13" i="5"/>
  <c r="CM15" i="5" s="1"/>
  <c r="CQ13" i="5"/>
  <c r="CQ15" i="5" s="1"/>
  <c r="BZ21" i="5"/>
  <c r="CB21" i="5"/>
  <c r="CD21" i="5"/>
  <c r="CF21" i="5"/>
  <c r="CH21" i="5"/>
  <c r="CJ21" i="5"/>
  <c r="CL21" i="5"/>
  <c r="CN21" i="5"/>
  <c r="CP21" i="5"/>
  <c r="BY32" i="5"/>
  <c r="CA32" i="5"/>
  <c r="CC32" i="5"/>
  <c r="CE32" i="5"/>
  <c r="CG32" i="5"/>
  <c r="CI32" i="5"/>
  <c r="CK32" i="5"/>
  <c r="CM32" i="5"/>
  <c r="CO32" i="5"/>
  <c r="CQ32" i="5"/>
  <c r="BY13" i="6"/>
  <c r="CA13" i="6"/>
  <c r="CC13" i="6"/>
  <c r="CE13" i="6"/>
  <c r="CG13" i="6"/>
  <c r="CI13" i="6"/>
  <c r="CK13" i="6"/>
  <c r="CM13" i="6"/>
  <c r="CO13" i="6"/>
  <c r="CQ13" i="6"/>
  <c r="BZ23" i="6"/>
  <c r="CB23" i="6"/>
  <c r="CD23" i="6"/>
  <c r="CF23" i="6"/>
  <c r="CH23" i="6"/>
  <c r="CJ23" i="6"/>
  <c r="CL23" i="6"/>
  <c r="CN23" i="6"/>
  <c r="CP23" i="6"/>
  <c r="BY37" i="6"/>
  <c r="BY48" i="6" s="1"/>
  <c r="CA37" i="6"/>
  <c r="CC37" i="6"/>
  <c r="CC48" i="6" s="1"/>
  <c r="CE37" i="6"/>
  <c r="CG37" i="6"/>
  <c r="CG48" i="6" s="1"/>
  <c r="CI37" i="6"/>
  <c r="CK37" i="6"/>
  <c r="CK48" i="6" s="1"/>
  <c r="CM37" i="6"/>
  <c r="CM48" i="6" s="1"/>
  <c r="CO37" i="6"/>
  <c r="CO48" i="6" s="1"/>
  <c r="CQ37" i="6"/>
  <c r="CQ48" i="6" s="1"/>
  <c r="BZ58" i="6"/>
  <c r="CB58" i="6"/>
  <c r="CD58" i="6"/>
  <c r="CF58" i="6"/>
  <c r="CH58" i="6"/>
  <c r="CJ58" i="6"/>
  <c r="CL58" i="6"/>
  <c r="CN58" i="6"/>
  <c r="CP58" i="6"/>
  <c r="DB23" i="5"/>
  <c r="DF23" i="5" s="1"/>
  <c r="DJ23" i="5" s="1"/>
  <c r="DN23" i="5" s="1"/>
  <c r="BZ13" i="5"/>
  <c r="BZ15" i="5" s="1"/>
  <c r="CB13" i="5"/>
  <c r="CB15" i="5" s="1"/>
  <c r="CD13" i="5"/>
  <c r="CD15" i="5" s="1"/>
  <c r="CF13" i="5"/>
  <c r="CF15" i="5" s="1"/>
  <c r="CH13" i="5"/>
  <c r="CH15" i="5" s="1"/>
  <c r="CJ13" i="5"/>
  <c r="CJ15" i="5" s="1"/>
  <c r="CL13" i="5"/>
  <c r="CL15" i="5" s="1"/>
  <c r="CN13" i="5"/>
  <c r="CN15" i="5" s="1"/>
  <c r="CP13" i="5"/>
  <c r="CP15" i="5" s="1"/>
  <c r="CC13" i="5"/>
  <c r="CC15" i="5" s="1"/>
  <c r="CG13" i="5"/>
  <c r="CG15" i="5" s="1"/>
  <c r="CK13" i="5"/>
  <c r="CK15" i="5" s="1"/>
  <c r="CO13" i="5"/>
  <c r="CO15" i="5" s="1"/>
  <c r="BY26" i="5"/>
  <c r="CA26" i="5"/>
  <c r="CC26" i="5"/>
  <c r="CE26" i="5"/>
  <c r="CG26" i="5"/>
  <c r="CI26" i="5"/>
  <c r="CK26" i="5"/>
  <c r="CM26" i="5"/>
  <c r="CO26" i="5"/>
  <c r="CQ26" i="5"/>
  <c r="BZ26" i="5"/>
  <c r="CB26" i="5"/>
  <c r="CD26" i="5"/>
  <c r="CF26" i="5"/>
  <c r="CH26" i="5"/>
  <c r="CJ26" i="5"/>
  <c r="CL26" i="5"/>
  <c r="CN26" i="5"/>
  <c r="CP26" i="5"/>
  <c r="BZ32" i="5"/>
  <c r="CB32" i="5"/>
  <c r="CD32" i="5"/>
  <c r="CF32" i="5"/>
  <c r="CH32" i="5"/>
  <c r="CJ32" i="5"/>
  <c r="CL32" i="5"/>
  <c r="CN32" i="5"/>
  <c r="CP32" i="5"/>
  <c r="BZ13" i="6"/>
  <c r="CB13" i="6"/>
  <c r="CD13" i="6"/>
  <c r="CF13" i="6"/>
  <c r="CH13" i="6"/>
  <c r="CJ13" i="6"/>
  <c r="CL13" i="6"/>
  <c r="CN13" i="6"/>
  <c r="CP13" i="6"/>
  <c r="BY23" i="6"/>
  <c r="CA23" i="6"/>
  <c r="CC23" i="6"/>
  <c r="CE23" i="6"/>
  <c r="CG23" i="6"/>
  <c r="CI23" i="6"/>
  <c r="CK23" i="6"/>
  <c r="CM23" i="6"/>
  <c r="CO23" i="6"/>
  <c r="CQ23" i="6"/>
  <c r="BZ37" i="6"/>
  <c r="CB37" i="6"/>
  <c r="CD37" i="6"/>
  <c r="CF37" i="6"/>
  <c r="CH37" i="6"/>
  <c r="CJ37" i="6"/>
  <c r="CL37" i="6"/>
  <c r="CN37" i="6"/>
  <c r="CP37" i="6"/>
  <c r="BY58" i="6"/>
  <c r="CA58" i="6"/>
  <c r="CC58" i="6"/>
  <c r="CE58" i="6"/>
  <c r="CG58" i="6"/>
  <c r="CI58" i="6"/>
  <c r="CK58" i="6"/>
  <c r="CM58" i="6"/>
  <c r="CO58" i="6"/>
  <c r="CQ58" i="6"/>
  <c r="CI48" i="6"/>
  <c r="CE48" i="6"/>
  <c r="CA48" i="6"/>
  <c r="BY21" i="5"/>
  <c r="CA21" i="5"/>
  <c r="CC21" i="5"/>
  <c r="CE21" i="5"/>
  <c r="CG21" i="5"/>
  <c r="CI21" i="5"/>
  <c r="CK21" i="5"/>
  <c r="CM21" i="5"/>
  <c r="CO21" i="5"/>
  <c r="CQ21" i="5"/>
  <c r="AI71" i="6"/>
  <c r="AQ71" i="6"/>
  <c r="AY71" i="6"/>
  <c r="BG71" i="6"/>
  <c r="BO71" i="6"/>
  <c r="BW71" i="6"/>
  <c r="BG79" i="6"/>
  <c r="BI79" i="6"/>
  <c r="BK79" i="6"/>
  <c r="BM79" i="6"/>
  <c r="BO79" i="6"/>
  <c r="BQ79" i="6"/>
  <c r="BS79" i="6"/>
  <c r="BU79" i="6"/>
  <c r="BW79" i="6"/>
  <c r="BU71" i="6" l="1"/>
  <c r="BS71" i="6"/>
  <c r="BC71" i="6"/>
  <c r="AW71" i="6"/>
  <c r="AU71" i="6"/>
  <c r="AE71" i="6"/>
  <c r="BR71" i="6"/>
  <c r="AT71" i="6"/>
  <c r="BA71" i="6"/>
  <c r="BQ71" i="6"/>
  <c r="AS71" i="6"/>
  <c r="BM71" i="6"/>
  <c r="AO71" i="6"/>
  <c r="BB71" i="6"/>
  <c r="BI71" i="6"/>
  <c r="AK71" i="6"/>
  <c r="BV71" i="6"/>
  <c r="AX71" i="6"/>
  <c r="BE71" i="6"/>
  <c r="AG71" i="6"/>
  <c r="BX71" i="6"/>
  <c r="BT71" i="6"/>
  <c r="BP71" i="6"/>
  <c r="BL71" i="6"/>
  <c r="BH71" i="6"/>
  <c r="BD71" i="6"/>
  <c r="AZ71" i="6"/>
  <c r="AV71" i="6"/>
  <c r="AR71" i="6"/>
  <c r="AN71" i="6"/>
  <c r="AJ71" i="6"/>
  <c r="AF71" i="6"/>
  <c r="CK33" i="5"/>
  <c r="CK37" i="5" s="1"/>
  <c r="CK39" i="5" s="1"/>
  <c r="CK40" i="5" s="1"/>
  <c r="DW24" i="5"/>
  <c r="DR23" i="5"/>
  <c r="DV23" i="5" s="1"/>
  <c r="CQ33" i="5"/>
  <c r="CM33" i="5"/>
  <c r="CI33" i="5"/>
  <c r="CE33" i="5"/>
  <c r="CA33" i="5"/>
  <c r="CA60" i="6"/>
  <c r="CE60" i="6"/>
  <c r="CI60" i="6"/>
  <c r="CM60" i="6"/>
  <c r="CQ60" i="6"/>
  <c r="CC33" i="5"/>
  <c r="BY33" i="5"/>
  <c r="BY60" i="6"/>
  <c r="CC60" i="6"/>
  <c r="CG60" i="6"/>
  <c r="CK60" i="6"/>
  <c r="CO60" i="6"/>
  <c r="CN48" i="6"/>
  <c r="CN60" i="6" s="1"/>
  <c r="CJ48" i="6"/>
  <c r="CJ60" i="6" s="1"/>
  <c r="CF48" i="6"/>
  <c r="CF60" i="6" s="1"/>
  <c r="CB48" i="6"/>
  <c r="CB60" i="6" s="1"/>
  <c r="CP33" i="5"/>
  <c r="CL33" i="5"/>
  <c r="CH33" i="5"/>
  <c r="CD33" i="5"/>
  <c r="BZ33" i="5"/>
  <c r="CO33" i="5"/>
  <c r="CG33" i="5"/>
  <c r="CP48" i="6"/>
  <c r="CP60" i="6" s="1"/>
  <c r="CL48" i="6"/>
  <c r="CL60" i="6" s="1"/>
  <c r="CH48" i="6"/>
  <c r="CH60" i="6" s="1"/>
  <c r="CD48" i="6"/>
  <c r="CD60" i="6" s="1"/>
  <c r="BZ48" i="6"/>
  <c r="BZ60" i="6" s="1"/>
  <c r="CN33" i="5"/>
  <c r="CJ33" i="5"/>
  <c r="CF33" i="5"/>
  <c r="CB33" i="5"/>
  <c r="DV24" i="5" l="1"/>
  <c r="DR24" i="5"/>
  <c r="CO37" i="5"/>
  <c r="CO39" i="5" s="1"/>
  <c r="CO40" i="5" s="1"/>
  <c r="CL37" i="5"/>
  <c r="CL39" i="5" s="1"/>
  <c r="CL40" i="5" s="1"/>
  <c r="CF37" i="5"/>
  <c r="CF39" i="5" s="1"/>
  <c r="CF40" i="5" s="1"/>
  <c r="CN37" i="5"/>
  <c r="CN39" i="5" s="1"/>
  <c r="CN40" i="5" s="1"/>
  <c r="CG37" i="5"/>
  <c r="CG39" i="5" s="1"/>
  <c r="CG40" i="5" s="1"/>
  <c r="BZ37" i="5"/>
  <c r="BZ39" i="5" s="1"/>
  <c r="BZ40" i="5" s="1"/>
  <c r="CH37" i="5"/>
  <c r="CH39" i="5" s="1"/>
  <c r="CH40" i="5" s="1"/>
  <c r="CP37" i="5"/>
  <c r="CP39" i="5" s="1"/>
  <c r="CP40" i="5" s="1"/>
  <c r="BY37" i="5"/>
  <c r="BY39" i="5" s="1"/>
  <c r="BY40" i="5" s="1"/>
  <c r="CE37" i="5"/>
  <c r="CE39" i="5" s="1"/>
  <c r="CE40" i="5" s="1"/>
  <c r="CM37" i="5"/>
  <c r="CM39" i="5" s="1"/>
  <c r="CM40" i="5" s="1"/>
  <c r="CB37" i="5"/>
  <c r="CB39" i="5" s="1"/>
  <c r="CB40" i="5" s="1"/>
  <c r="CJ37" i="5"/>
  <c r="CJ39" i="5" s="1"/>
  <c r="CJ40" i="5" s="1"/>
  <c r="CD37" i="5"/>
  <c r="CD39" i="5" s="1"/>
  <c r="CD40" i="5" s="1"/>
  <c r="CC37" i="5"/>
  <c r="CC39" i="5" s="1"/>
  <c r="CC40" i="5" s="1"/>
  <c r="CA37" i="5"/>
  <c r="CA39" i="5" s="1"/>
  <c r="CA40" i="5" s="1"/>
  <c r="CI37" i="5"/>
  <c r="CI39" i="5" s="1"/>
  <c r="CI40" i="5" s="1"/>
  <c r="CQ37" i="5"/>
  <c r="CQ39" i="5" s="1"/>
  <c r="CQ40" i="5" s="1"/>
  <c r="CR86" i="7"/>
  <c r="CR85" i="7"/>
  <c r="CR82" i="7"/>
  <c r="CR81" i="7"/>
  <c r="CR80" i="7"/>
  <c r="CR77" i="7"/>
  <c r="CR76" i="7"/>
  <c r="CR75" i="7"/>
  <c r="CR74" i="7"/>
  <c r="CR73" i="7"/>
  <c r="CR69" i="7"/>
  <c r="CR68" i="7"/>
  <c r="CR65" i="7"/>
  <c r="CR64" i="7"/>
  <c r="CR60" i="7"/>
  <c r="CR56" i="7"/>
  <c r="CR55" i="7"/>
  <c r="CR54" i="7"/>
  <c r="CR53" i="7"/>
  <c r="CR44" i="7"/>
  <c r="CR40" i="7"/>
  <c r="DA40" i="7" s="1"/>
  <c r="DB40" i="7" s="1"/>
  <c r="DC40" i="7" s="1"/>
  <c r="DD40" i="7" s="1"/>
  <c r="DE40" i="7" s="1"/>
  <c r="DF40" i="7" s="1"/>
  <c r="DG40" i="7" s="1"/>
  <c r="DH40" i="7" s="1"/>
  <c r="DI40" i="7" s="1"/>
  <c r="DJ40" i="7" s="1"/>
  <c r="DK40" i="7" s="1"/>
  <c r="DL40" i="7" s="1"/>
  <c r="DM40" i="7" s="1"/>
  <c r="DN40" i="7" s="1"/>
  <c r="DO40" i="7" s="1"/>
  <c r="DP40" i="7" s="1"/>
  <c r="DQ40" i="7" s="1"/>
  <c r="DR40" i="7" s="1"/>
  <c r="DS40" i="7" s="1"/>
  <c r="DT40" i="7" s="1"/>
  <c r="DU40" i="7" s="1"/>
  <c r="DV40" i="7" s="1"/>
  <c r="DW40" i="7" s="1"/>
  <c r="DX40" i="7" s="1"/>
  <c r="CR35" i="7"/>
  <c r="CR34" i="7"/>
  <c r="CR33" i="7"/>
  <c r="CR29" i="7"/>
  <c r="CR28" i="7"/>
  <c r="CR27" i="7"/>
  <c r="CR107" i="6"/>
  <c r="CS105" i="6" s="1"/>
  <c r="CS106" i="6" s="1"/>
  <c r="CR100" i="6" l="1"/>
  <c r="CR95" i="6"/>
  <c r="CS91" i="6" s="1"/>
  <c r="CS94" i="6" s="1"/>
  <c r="CR88" i="6"/>
  <c r="CS83" i="6" s="1"/>
  <c r="CR86" i="6"/>
  <c r="CR92" i="6" s="1"/>
  <c r="CR85" i="6"/>
  <c r="CR80" i="6"/>
  <c r="CR75" i="6"/>
  <c r="CR77" i="6" s="1"/>
  <c r="CR68" i="6"/>
  <c r="CR67" i="6"/>
  <c r="CR58" i="6"/>
  <c r="CR37" i="6"/>
  <c r="CR23" i="6"/>
  <c r="CR13" i="6"/>
  <c r="CR7" i="6"/>
  <c r="CR64" i="6" s="1"/>
  <c r="CR70" i="5"/>
  <c r="CR66" i="5"/>
  <c r="CR64" i="5"/>
  <c r="CR60" i="5"/>
  <c r="CR56" i="5"/>
  <c r="CR55" i="5"/>
  <c r="CR54" i="5"/>
  <c r="CR53" i="5"/>
  <c r="CR52" i="5"/>
  <c r="CR51" i="5"/>
  <c r="CR48" i="5"/>
  <c r="CR46" i="5"/>
  <c r="CS86" i="7" l="1"/>
  <c r="CS44" i="7"/>
  <c r="CV61" i="7"/>
  <c r="CV24" i="7"/>
  <c r="CS74" i="6"/>
  <c r="CS79" i="6" s="1"/>
  <c r="CR48" i="6"/>
  <c r="CR60" i="6" s="1"/>
  <c r="CR72" i="7"/>
  <c r="CR69" i="6"/>
  <c r="CS71" i="6" s="1"/>
  <c r="CR31" i="6"/>
  <c r="CR57" i="5"/>
  <c r="CS58" i="5" s="1"/>
  <c r="CR21" i="5"/>
  <c r="CR32" i="5"/>
  <c r="CR26" i="5"/>
  <c r="CR13" i="5"/>
  <c r="CR52" i="7" l="1"/>
  <c r="CT59" i="7"/>
  <c r="CS23" i="7"/>
  <c r="CS21" i="7"/>
  <c r="CQ86" i="7" l="1"/>
  <c r="CQ85" i="7"/>
  <c r="CQ82" i="7"/>
  <c r="CQ81" i="7"/>
  <c r="CQ80" i="7"/>
  <c r="CQ77" i="7"/>
  <c r="CQ76" i="7"/>
  <c r="CQ75" i="7"/>
  <c r="CQ74" i="7"/>
  <c r="CQ73" i="7"/>
  <c r="CQ72" i="7"/>
  <c r="CQ69" i="7"/>
  <c r="CQ68" i="7"/>
  <c r="CQ65" i="7"/>
  <c r="CQ64" i="7"/>
  <c r="CQ60" i="7"/>
  <c r="CQ56" i="7"/>
  <c r="CQ55" i="7"/>
  <c r="CQ54" i="7"/>
  <c r="CQ53" i="7"/>
  <c r="CQ44" i="7"/>
  <c r="CQ40" i="7"/>
  <c r="CQ35" i="7"/>
  <c r="CQ34" i="7"/>
  <c r="CQ33" i="7"/>
  <c r="CQ29" i="7"/>
  <c r="CQ28" i="7"/>
  <c r="CQ27" i="7"/>
  <c r="CQ107" i="6"/>
  <c r="CR105" i="6" s="1"/>
  <c r="CR106" i="6" s="1"/>
  <c r="CQ100" i="6"/>
  <c r="CQ95" i="6"/>
  <c r="CR91" i="6" s="1"/>
  <c r="CR94" i="6" s="1"/>
  <c r="CQ88" i="6"/>
  <c r="CR83" i="6" s="1"/>
  <c r="CQ86" i="6"/>
  <c r="CQ92" i="6" s="1"/>
  <c r="CQ85" i="6"/>
  <c r="CQ80" i="6"/>
  <c r="CQ75" i="6"/>
  <c r="CQ77" i="6" s="1"/>
  <c r="CQ68" i="6"/>
  <c r="CQ67" i="6"/>
  <c r="CQ31" i="6"/>
  <c r="CQ7" i="6"/>
  <c r="CQ64" i="6" s="1"/>
  <c r="CQ70" i="5"/>
  <c r="CQ66" i="5"/>
  <c r="CQ65" i="5"/>
  <c r="CQ64" i="5"/>
  <c r="CQ60" i="5"/>
  <c r="CQ56" i="5"/>
  <c r="CQ54" i="5"/>
  <c r="CQ53" i="5"/>
  <c r="CQ52" i="5"/>
  <c r="CQ51" i="5"/>
  <c r="CQ48" i="5"/>
  <c r="CQ46" i="5"/>
  <c r="CR74" i="6" l="1"/>
  <c r="CR79" i="6" s="1"/>
  <c r="CU61" i="7"/>
  <c r="CU24" i="7"/>
  <c r="CR41" i="7"/>
  <c r="CR39" i="7"/>
  <c r="CR38" i="7"/>
  <c r="CQ52" i="7"/>
  <c r="CQ69" i="6"/>
  <c r="CR71" i="6" s="1"/>
  <c r="CS59" i="7" s="1"/>
  <c r="CQ62" i="6"/>
  <c r="CQ45" i="7"/>
  <c r="CQ47" i="7" s="1"/>
  <c r="CQ46" i="7" l="1"/>
  <c r="CR23" i="7" l="1"/>
  <c r="CQ48" i="7" l="1"/>
  <c r="CQ84" i="6"/>
  <c r="CQ45" i="5"/>
  <c r="BI5" i="10" l="1"/>
  <c r="BI153" i="9"/>
  <c r="BI111" i="9"/>
  <c r="BI107" i="9"/>
  <c r="BI105" i="9"/>
  <c r="BI99" i="9"/>
  <c r="BI65" i="9"/>
  <c r="BI64" i="9" s="1"/>
  <c r="BI49" i="9"/>
  <c r="BI45" i="9"/>
  <c r="BI41" i="9"/>
  <c r="BI40" i="9"/>
  <c r="BI36" i="9"/>
  <c r="BI32" i="9"/>
  <c r="BI31" i="9"/>
  <c r="BI30" i="9"/>
  <c r="BI29" i="9"/>
  <c r="BI28" i="9"/>
  <c r="BI26" i="9"/>
  <c r="BI22" i="9"/>
  <c r="BI18" i="9"/>
  <c r="BI17" i="9"/>
  <c r="BI13" i="9"/>
  <c r="BI12" i="9"/>
  <c r="BI10" i="9"/>
  <c r="BI9" i="9"/>
  <c r="BI7" i="9"/>
  <c r="BI67" i="9" s="1"/>
  <c r="BI82" i="9" s="1"/>
  <c r="BI96" i="9" s="1"/>
  <c r="BI118" i="9" s="1"/>
  <c r="BI126" i="9" s="1"/>
  <c r="BI140" i="9" s="1"/>
  <c r="BI90" i="9" s="1"/>
  <c r="CP86" i="7"/>
  <c r="CP85" i="7"/>
  <c r="CP82" i="7"/>
  <c r="CP81" i="7"/>
  <c r="CP80" i="7"/>
  <c r="CP77" i="7"/>
  <c r="CP76" i="7"/>
  <c r="CP75" i="7"/>
  <c r="CP74" i="7"/>
  <c r="CP73" i="7"/>
  <c r="CP72" i="7"/>
  <c r="CP69" i="7"/>
  <c r="CP68" i="7"/>
  <c r="CP65" i="7"/>
  <c r="CP64" i="7"/>
  <c r="CP60" i="7"/>
  <c r="CP56" i="7"/>
  <c r="CP55" i="7"/>
  <c r="CP54" i="7"/>
  <c r="CP53" i="7"/>
  <c r="CP44" i="7"/>
  <c r="CP40" i="7"/>
  <c r="CP35" i="7"/>
  <c r="CP34" i="7"/>
  <c r="CP33" i="7"/>
  <c r="CP29" i="7"/>
  <c r="CP28" i="7"/>
  <c r="CP27" i="7"/>
  <c r="CP107" i="6"/>
  <c r="CQ105" i="6" s="1"/>
  <c r="CQ106" i="6" s="1"/>
  <c r="CP100" i="6"/>
  <c r="CP95" i="6"/>
  <c r="CQ91" i="6" s="1"/>
  <c r="CQ94" i="6" s="1"/>
  <c r="CP88" i="6"/>
  <c r="CQ83" i="6" s="1"/>
  <c r="CQ87" i="6" s="1"/>
  <c r="CP86" i="6"/>
  <c r="CP92" i="6" s="1"/>
  <c r="CP85" i="6"/>
  <c r="CP80" i="6"/>
  <c r="CP75" i="6"/>
  <c r="CP77" i="6" s="1"/>
  <c r="CP68" i="6"/>
  <c r="BI142" i="9" s="1"/>
  <c r="BI154" i="9" s="1"/>
  <c r="CP67" i="6"/>
  <c r="BI101" i="9" s="1"/>
  <c r="BI109" i="9"/>
  <c r="CP7" i="6"/>
  <c r="CP8" i="7" s="1"/>
  <c r="CQ74" i="6" l="1"/>
  <c r="CQ79" i="6" s="1"/>
  <c r="CT61" i="7"/>
  <c r="CT24" i="7"/>
  <c r="CP64" i="6"/>
  <c r="BI53" i="9"/>
  <c r="BI60" i="9"/>
  <c r="BI103" i="9"/>
  <c r="BI144" i="9" s="1"/>
  <c r="BI146" i="9" s="1"/>
  <c r="BI151" i="9"/>
  <c r="BI20" i="9"/>
  <c r="BI15" i="9"/>
  <c r="BI121" i="9"/>
  <c r="BI141" i="9"/>
  <c r="BI147" i="9"/>
  <c r="CP69" i="6"/>
  <c r="CQ71" i="6" s="1"/>
  <c r="CP31" i="6"/>
  <c r="BI145" i="9" l="1"/>
  <c r="CQ38" i="7"/>
  <c r="CQ41" i="7"/>
  <c r="CQ39" i="7"/>
  <c r="BI122" i="9"/>
  <c r="BI97" i="9"/>
  <c r="CP52" i="7"/>
  <c r="CP62" i="6"/>
  <c r="BI143" i="9"/>
  <c r="BI78" i="9"/>
  <c r="BI91" i="9"/>
  <c r="BI24" i="9"/>
  <c r="CP48" i="5"/>
  <c r="CP70" i="5"/>
  <c r="CP66" i="5"/>
  <c r="CP65" i="5"/>
  <c r="CP64" i="5"/>
  <c r="CP60" i="5"/>
  <c r="CP56" i="5"/>
  <c r="CP54" i="5"/>
  <c r="CP53" i="5"/>
  <c r="CP52" i="5"/>
  <c r="CP51" i="5"/>
  <c r="CP46" i="5"/>
  <c r="BI62" i="9" s="1"/>
  <c r="BI27" i="9"/>
  <c r="BI76" i="9" s="1"/>
  <c r="CQ23" i="7" l="1"/>
  <c r="CR59" i="7"/>
  <c r="BI119" i="9"/>
  <c r="BI123" i="9"/>
  <c r="BI120" i="9"/>
  <c r="BI34" i="9"/>
  <c r="BI38" i="9" s="1"/>
  <c r="BI43" i="9" s="1"/>
  <c r="BI47" i="9" s="1"/>
  <c r="BI92" i="9"/>
  <c r="BI93" i="9" s="1"/>
  <c r="BI75" i="9" s="1"/>
  <c r="CP32" i="7"/>
  <c r="BI80" i="9" l="1"/>
  <c r="DB24" i="5"/>
  <c r="CP45" i="7"/>
  <c r="CP47" i="7" s="1"/>
  <c r="BI51" i="9"/>
  <c r="DC24" i="5" l="1"/>
  <c r="CP46" i="7"/>
  <c r="DD24" i="5" l="1"/>
  <c r="BI54" i="9"/>
  <c r="CP48" i="7"/>
  <c r="CP84" i="6"/>
  <c r="BI56" i="9"/>
  <c r="BI58" i="9" s="1"/>
  <c r="BI11" i="9"/>
  <c r="CP45" i="5"/>
  <c r="DF24" i="5" l="1"/>
  <c r="DG24" i="5" l="1"/>
  <c r="DH24" i="5" l="1"/>
  <c r="H14" i="11"/>
  <c r="H20" i="11"/>
  <c r="B5" i="10"/>
  <c r="C5" i="10"/>
  <c r="D5" i="10"/>
  <c r="E5" i="10"/>
  <c r="F5" i="10"/>
  <c r="G5" i="10"/>
  <c r="H5" i="10"/>
  <c r="I5" i="10"/>
  <c r="J5" i="10"/>
  <c r="K5" i="10"/>
  <c r="L5" i="10"/>
  <c r="M5" i="10"/>
  <c r="N5" i="10"/>
  <c r="P5" i="10"/>
  <c r="Q5" i="10"/>
  <c r="R5" i="10"/>
  <c r="S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AN5" i="10"/>
  <c r="AO5" i="10"/>
  <c r="AP5" i="10"/>
  <c r="AQ5" i="10"/>
  <c r="AR5" i="10"/>
  <c r="AS5" i="10"/>
  <c r="AT5" i="10"/>
  <c r="AU5" i="10"/>
  <c r="AV5" i="10"/>
  <c r="AW5" i="10"/>
  <c r="AX5" i="10"/>
  <c r="AY5" i="10"/>
  <c r="AZ5" i="10"/>
  <c r="BA5" i="10"/>
  <c r="BB5" i="10"/>
  <c r="BC5" i="10"/>
  <c r="BD5" i="10"/>
  <c r="BE5" i="10"/>
  <c r="BF5" i="10"/>
  <c r="BG5" i="10"/>
  <c r="BH5" i="10"/>
  <c r="BJ5" i="10"/>
  <c r="BK5" i="10"/>
  <c r="BM5" i="10"/>
  <c r="BP5" i="10"/>
  <c r="BT5" i="10"/>
  <c r="BU5" i="10"/>
  <c r="BV5" i="10"/>
  <c r="BW5" i="10"/>
  <c r="BX5" i="10"/>
  <c r="BY5" i="10"/>
  <c r="BZ5" i="10"/>
  <c r="CA5" i="10"/>
  <c r="CB5" i="10"/>
  <c r="CC5" i="10"/>
  <c r="CD5" i="10"/>
  <c r="CE5" i="10"/>
  <c r="CF5" i="10"/>
  <c r="CG5" i="10"/>
  <c r="CH5" i="10"/>
  <c r="CI5" i="10"/>
  <c r="X23" i="10"/>
  <c r="C25" i="10"/>
  <c r="X25" i="10"/>
  <c r="Y25" i="10"/>
  <c r="AB7" i="9"/>
  <c r="AC7" i="9"/>
  <c r="AD7" i="9"/>
  <c r="AE7" i="9"/>
  <c r="AF7" i="9"/>
  <c r="AG7" i="9"/>
  <c r="AG15" i="9" s="1"/>
  <c r="AH7" i="9"/>
  <c r="AH15" i="9" s="1"/>
  <c r="AI7" i="9"/>
  <c r="AJ7" i="9"/>
  <c r="AJ67" i="9" s="1"/>
  <c r="AJ82" i="9" s="1"/>
  <c r="AJ96" i="9" s="1"/>
  <c r="AJ118" i="9" s="1"/>
  <c r="AJ126" i="9" s="1"/>
  <c r="AJ140" i="9" s="1"/>
  <c r="AJ90" i="9" s="1"/>
  <c r="AK7" i="9"/>
  <c r="AK53" i="9" s="1"/>
  <c r="AL7" i="9"/>
  <c r="AM7" i="9"/>
  <c r="AN7" i="9"/>
  <c r="AO7" i="9"/>
  <c r="AO15" i="9" s="1"/>
  <c r="AP7" i="9"/>
  <c r="AQ7" i="9"/>
  <c r="AR7" i="9"/>
  <c r="AS7" i="9"/>
  <c r="AT7" i="9"/>
  <c r="AT15" i="9" s="1"/>
  <c r="AU7" i="9"/>
  <c r="AV7" i="9"/>
  <c r="AV67" i="9" s="1"/>
  <c r="AV82" i="9" s="1"/>
  <c r="AV96" i="9" s="1"/>
  <c r="AV118" i="9" s="1"/>
  <c r="AV126" i="9" s="1"/>
  <c r="AV140" i="9" s="1"/>
  <c r="AV90" i="9" s="1"/>
  <c r="AW7" i="9"/>
  <c r="AW53" i="9" s="1"/>
  <c r="AX7" i="9"/>
  <c r="AY7" i="9"/>
  <c r="AZ7" i="9"/>
  <c r="BA7" i="9"/>
  <c r="BB7" i="9"/>
  <c r="BC7" i="9"/>
  <c r="BD7" i="9"/>
  <c r="BD15" i="9" s="1"/>
  <c r="BE7" i="9"/>
  <c r="BE15" i="9" s="1"/>
  <c r="BF7" i="9"/>
  <c r="BF15" i="9" s="1"/>
  <c r="BG7" i="9"/>
  <c r="BH7" i="9"/>
  <c r="BH67" i="9" s="1"/>
  <c r="BH82" i="9" s="1"/>
  <c r="BH96" i="9" s="1"/>
  <c r="BH118" i="9" s="1"/>
  <c r="BH126" i="9" s="1"/>
  <c r="BH140" i="9" s="1"/>
  <c r="BH90" i="9" s="1"/>
  <c r="BJ7" i="9"/>
  <c r="BJ53" i="9" s="1"/>
  <c r="BK7" i="9"/>
  <c r="BK67" i="9" s="1"/>
  <c r="BK82" i="9" s="1"/>
  <c r="BK96" i="9" s="1"/>
  <c r="BK118" i="9" s="1"/>
  <c r="BK126" i="9" s="1"/>
  <c r="BK140" i="9" s="1"/>
  <c r="BK90" i="9" s="1"/>
  <c r="BM7" i="9"/>
  <c r="BP7" i="9"/>
  <c r="BP15" i="9" s="1"/>
  <c r="BQ7" i="9"/>
  <c r="BQ15" i="9" s="1"/>
  <c r="BT7" i="9"/>
  <c r="BT67" i="9" s="1"/>
  <c r="BT82" i="9" s="1"/>
  <c r="BU7" i="9"/>
  <c r="BV7" i="9"/>
  <c r="BV67" i="9" s="1"/>
  <c r="BV82" i="9" s="1"/>
  <c r="BV96" i="9" s="1"/>
  <c r="BV118" i="9" s="1"/>
  <c r="BV126" i="9" s="1"/>
  <c r="BV140" i="9" s="1"/>
  <c r="BV90" i="9" s="1"/>
  <c r="BW7" i="9"/>
  <c r="BX7" i="9"/>
  <c r="BX67" i="9" s="1"/>
  <c r="BX82" i="9" s="1"/>
  <c r="BY7" i="9"/>
  <c r="BZ7" i="9"/>
  <c r="BZ67" i="9" s="1"/>
  <c r="BZ82" i="9" s="1"/>
  <c r="BZ96" i="9" s="1"/>
  <c r="BZ118" i="9" s="1"/>
  <c r="BZ126" i="9" s="1"/>
  <c r="BZ140" i="9" s="1"/>
  <c r="BZ90" i="9" s="1"/>
  <c r="CA7" i="9"/>
  <c r="CA53" i="9" s="1"/>
  <c r="CB7" i="9"/>
  <c r="CB67" i="9" s="1"/>
  <c r="CB82" i="9" s="1"/>
  <c r="CC7" i="9"/>
  <c r="CD7" i="9"/>
  <c r="CD67" i="9" s="1"/>
  <c r="CD82" i="9" s="1"/>
  <c r="CD96" i="9" s="1"/>
  <c r="CD118" i="9" s="1"/>
  <c r="CD126" i="9" s="1"/>
  <c r="CD140" i="9" s="1"/>
  <c r="CD90" i="9" s="1"/>
  <c r="CE7" i="9"/>
  <c r="CF7" i="9"/>
  <c r="CF67" i="9" s="1"/>
  <c r="CF82" i="9" s="1"/>
  <c r="CG7" i="9"/>
  <c r="CH7" i="9"/>
  <c r="CH67" i="9" s="1"/>
  <c r="CH82" i="9" s="1"/>
  <c r="CH96" i="9" s="1"/>
  <c r="CH118" i="9" s="1"/>
  <c r="CH126" i="9" s="1"/>
  <c r="CH140" i="9" s="1"/>
  <c r="CH90" i="9" s="1"/>
  <c r="CI7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X9" i="9"/>
  <c r="Y9" i="9"/>
  <c r="Z9" i="9"/>
  <c r="AA9" i="9"/>
  <c r="AB9" i="9"/>
  <c r="AC9" i="9"/>
  <c r="AD9" i="9"/>
  <c r="AE9" i="9"/>
  <c r="AF9" i="9"/>
  <c r="AG9" i="9"/>
  <c r="AH9" i="9"/>
  <c r="AI9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BE9" i="9"/>
  <c r="BF9" i="9"/>
  <c r="BG9" i="9"/>
  <c r="BH9" i="9"/>
  <c r="BJ9" i="9"/>
  <c r="BK9" i="9"/>
  <c r="BM9" i="9"/>
  <c r="BP9" i="9"/>
  <c r="BQ9" i="9"/>
  <c r="BT9" i="9"/>
  <c r="BU9" i="9"/>
  <c r="BV9" i="9"/>
  <c r="BW9" i="9"/>
  <c r="BX9" i="9"/>
  <c r="BY9" i="9"/>
  <c r="BZ9" i="9"/>
  <c r="CA9" i="9"/>
  <c r="CB9" i="9"/>
  <c r="CC9" i="9"/>
  <c r="CD9" i="9"/>
  <c r="CE9" i="9"/>
  <c r="CF9" i="9"/>
  <c r="CG9" i="9"/>
  <c r="CH9" i="9"/>
  <c r="CI9" i="9"/>
  <c r="B10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BE10" i="9"/>
  <c r="BF10" i="9"/>
  <c r="BG10" i="9"/>
  <c r="BH10" i="9"/>
  <c r="BJ10" i="9"/>
  <c r="BK10" i="9"/>
  <c r="BM10" i="9"/>
  <c r="BP10" i="9"/>
  <c r="BQ10" i="9"/>
  <c r="BT10" i="9"/>
  <c r="BU10" i="9"/>
  <c r="BV10" i="9"/>
  <c r="BW10" i="9"/>
  <c r="B11" i="9"/>
  <c r="C11" i="9"/>
  <c r="D11" i="9"/>
  <c r="M11" i="9"/>
  <c r="N11" i="9"/>
  <c r="O11" i="9"/>
  <c r="P11" i="9"/>
  <c r="Q11" i="9"/>
  <c r="R11" i="9"/>
  <c r="S11" i="9"/>
  <c r="X11" i="9"/>
  <c r="Y11" i="9"/>
  <c r="Z11" i="9"/>
  <c r="BJ11" i="9"/>
  <c r="BK11" i="9"/>
  <c r="BM11" i="9"/>
  <c r="BP11" i="9"/>
  <c r="BQ11" i="9"/>
  <c r="BT11" i="9"/>
  <c r="BU11" i="9"/>
  <c r="BV11" i="9"/>
  <c r="BW11" i="9"/>
  <c r="BX11" i="9"/>
  <c r="BY11" i="9"/>
  <c r="BZ11" i="9"/>
  <c r="CA11" i="9"/>
  <c r="CB11" i="9"/>
  <c r="CC11" i="9"/>
  <c r="CD11" i="9"/>
  <c r="CE11" i="9"/>
  <c r="CF11" i="9"/>
  <c r="CG11" i="9"/>
  <c r="CH11" i="9"/>
  <c r="CI11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X12" i="9"/>
  <c r="Y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BE12" i="9"/>
  <c r="BF12" i="9"/>
  <c r="BG12" i="9"/>
  <c r="BH12" i="9"/>
  <c r="BJ12" i="9"/>
  <c r="BK12" i="9"/>
  <c r="BM12" i="9"/>
  <c r="BP12" i="9"/>
  <c r="BQ12" i="9"/>
  <c r="BT12" i="9"/>
  <c r="BU12" i="9"/>
  <c r="BV12" i="9"/>
  <c r="BW12" i="9"/>
  <c r="BX12" i="9"/>
  <c r="BY12" i="9"/>
  <c r="BZ12" i="9"/>
  <c r="CA12" i="9"/>
  <c r="CB12" i="9"/>
  <c r="CC12" i="9"/>
  <c r="CD12" i="9"/>
  <c r="CE12" i="9"/>
  <c r="CF12" i="9"/>
  <c r="CG12" i="9"/>
  <c r="CH12" i="9"/>
  <c r="CI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X13" i="9"/>
  <c r="Y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BE13" i="9"/>
  <c r="BF13" i="9"/>
  <c r="BG13" i="9"/>
  <c r="BH13" i="9"/>
  <c r="BJ13" i="9"/>
  <c r="BJ62" i="9" s="1"/>
  <c r="BK13" i="9"/>
  <c r="BK62" i="9" s="1"/>
  <c r="BM13" i="9"/>
  <c r="BP13" i="9"/>
  <c r="BQ13" i="9"/>
  <c r="BT13" i="9"/>
  <c r="BU13" i="9"/>
  <c r="BV13" i="9"/>
  <c r="BW13" i="9"/>
  <c r="BX13" i="9"/>
  <c r="BY13" i="9"/>
  <c r="BZ13" i="9"/>
  <c r="CA13" i="9"/>
  <c r="CB13" i="9"/>
  <c r="CC13" i="9"/>
  <c r="CD13" i="9"/>
  <c r="CE13" i="9"/>
  <c r="CF13" i="9"/>
  <c r="CG13" i="9"/>
  <c r="CH13" i="9"/>
  <c r="X15" i="9"/>
  <c r="Y15" i="9"/>
  <c r="Z15" i="9"/>
  <c r="AA15" i="9"/>
  <c r="AB15" i="9"/>
  <c r="AC15" i="9"/>
  <c r="AD15" i="9"/>
  <c r="AE15" i="9"/>
  <c r="AF15" i="9"/>
  <c r="AI15" i="9"/>
  <c r="AL15" i="9"/>
  <c r="AM15" i="9"/>
  <c r="AN15" i="9"/>
  <c r="AP15" i="9"/>
  <c r="AQ15" i="9"/>
  <c r="AR15" i="9"/>
  <c r="AS15" i="9"/>
  <c r="AU15" i="9"/>
  <c r="AX15" i="9"/>
  <c r="AY15" i="9"/>
  <c r="AZ15" i="9"/>
  <c r="BA15" i="9"/>
  <c r="BB15" i="9"/>
  <c r="BC15" i="9"/>
  <c r="BG15" i="9"/>
  <c r="BK15" i="9"/>
  <c r="BM15" i="9"/>
  <c r="BT15" i="9"/>
  <c r="BU15" i="9"/>
  <c r="BV15" i="9"/>
  <c r="BW15" i="9"/>
  <c r="BY15" i="9"/>
  <c r="CB15" i="9"/>
  <c r="CC15" i="9"/>
  <c r="CD15" i="9"/>
  <c r="CE15" i="9"/>
  <c r="CF15" i="9"/>
  <c r="CG15" i="9"/>
  <c r="CH15" i="9"/>
  <c r="CI15" i="9"/>
  <c r="B17" i="9"/>
  <c r="X17" i="9"/>
  <c r="X8" i="10" s="1"/>
  <c r="Y17" i="9"/>
  <c r="Y20" i="9" s="1"/>
  <c r="Z17" i="9"/>
  <c r="AA17" i="9"/>
  <c r="AB17" i="9"/>
  <c r="AC17" i="9"/>
  <c r="AC20" i="9" s="1"/>
  <c r="AD17" i="9"/>
  <c r="AD20" i="9" s="1"/>
  <c r="AE17" i="9"/>
  <c r="AF17" i="9"/>
  <c r="AG17" i="9"/>
  <c r="AG20" i="9" s="1"/>
  <c r="AH17" i="9"/>
  <c r="AI17" i="9"/>
  <c r="AJ17" i="9"/>
  <c r="AK17" i="9"/>
  <c r="AK20" i="9" s="1"/>
  <c r="AK24" i="9" s="1"/>
  <c r="AL17" i="9"/>
  <c r="AL20" i="9" s="1"/>
  <c r="AM17" i="9"/>
  <c r="AN17" i="9"/>
  <c r="AO17" i="9"/>
  <c r="AO20" i="9" s="1"/>
  <c r="AP17" i="9"/>
  <c r="AP20" i="9" s="1"/>
  <c r="AQ17" i="9"/>
  <c r="AQ20" i="9" s="1"/>
  <c r="AQ24" i="9" s="1"/>
  <c r="AR17" i="9"/>
  <c r="AS17" i="9"/>
  <c r="AT17" i="9"/>
  <c r="AU17" i="9"/>
  <c r="AV17" i="9"/>
  <c r="AW17" i="9"/>
  <c r="AW20" i="9" s="1"/>
  <c r="AX17" i="9"/>
  <c r="AY17" i="9"/>
  <c r="AZ17" i="9"/>
  <c r="BA17" i="9"/>
  <c r="BA20" i="9" s="1"/>
  <c r="BB17" i="9"/>
  <c r="BB20" i="9" s="1"/>
  <c r="BB91" i="9" s="1"/>
  <c r="BC17" i="9"/>
  <c r="BD17" i="9"/>
  <c r="BE17" i="9"/>
  <c r="BE20" i="9" s="1"/>
  <c r="BF17" i="9"/>
  <c r="BG17" i="9"/>
  <c r="BH17" i="9"/>
  <c r="B18" i="9"/>
  <c r="B20" i="9" s="1"/>
  <c r="X18" i="9"/>
  <c r="X9" i="10" s="1"/>
  <c r="Y18" i="9"/>
  <c r="Z18" i="9"/>
  <c r="AA18" i="9"/>
  <c r="AB18" i="9"/>
  <c r="AB20" i="9" s="1"/>
  <c r="AC18" i="9"/>
  <c r="AD18" i="9"/>
  <c r="AE18" i="9"/>
  <c r="AF18" i="9"/>
  <c r="AF20" i="9" s="1"/>
  <c r="AG18" i="9"/>
  <c r="AH18" i="9"/>
  <c r="AI18" i="9"/>
  <c r="AJ18" i="9"/>
  <c r="AK18" i="9"/>
  <c r="AL18" i="9"/>
  <c r="AM18" i="9"/>
  <c r="AN18" i="9"/>
  <c r="AN20" i="9" s="1"/>
  <c r="AO18" i="9"/>
  <c r="AP18" i="9"/>
  <c r="AQ18" i="9"/>
  <c r="AR18" i="9"/>
  <c r="AS18" i="9"/>
  <c r="AT18" i="9"/>
  <c r="AU18" i="9"/>
  <c r="AU20" i="9" s="1"/>
  <c r="AV18" i="9"/>
  <c r="AW18" i="9"/>
  <c r="AX18" i="9"/>
  <c r="AY18" i="9"/>
  <c r="AZ18" i="9"/>
  <c r="AZ20" i="9" s="1"/>
  <c r="AZ91" i="9" s="1"/>
  <c r="BA18" i="9"/>
  <c r="BB18" i="9"/>
  <c r="BC18" i="9"/>
  <c r="BC20" i="9" s="1"/>
  <c r="BD18" i="9"/>
  <c r="BD20" i="9" s="1"/>
  <c r="BD91" i="9" s="1"/>
  <c r="BE18" i="9"/>
  <c r="BF18" i="9"/>
  <c r="BG18" i="9"/>
  <c r="BH18" i="9"/>
  <c r="Z20" i="9"/>
  <c r="Z91" i="9" s="1"/>
  <c r="AE20" i="9"/>
  <c r="AE24" i="9" s="1"/>
  <c r="AI20" i="9"/>
  <c r="AR20" i="9"/>
  <c r="AR24" i="9" s="1"/>
  <c r="AS20" i="9"/>
  <c r="AS24" i="9" s="1"/>
  <c r="AX20" i="9"/>
  <c r="AX91" i="9" s="1"/>
  <c r="BG20" i="9"/>
  <c r="B22" i="9"/>
  <c r="X22" i="9"/>
  <c r="X11" i="10" s="1"/>
  <c r="Y22" i="9"/>
  <c r="Z22" i="9"/>
  <c r="AA22" i="9"/>
  <c r="AB22" i="9"/>
  <c r="AC22" i="9"/>
  <c r="AD22" i="9"/>
  <c r="AE22" i="9"/>
  <c r="AE84" i="9" s="1"/>
  <c r="AF22" i="9"/>
  <c r="AG22" i="9"/>
  <c r="AH22" i="9"/>
  <c r="AI22" i="9"/>
  <c r="AJ22" i="9"/>
  <c r="AK22" i="9"/>
  <c r="AL22" i="9"/>
  <c r="AM22" i="9"/>
  <c r="AN22" i="9"/>
  <c r="AO22" i="9"/>
  <c r="AP22" i="9"/>
  <c r="AQ22" i="9"/>
  <c r="AR22" i="9"/>
  <c r="AS22" i="9"/>
  <c r="AT22" i="9"/>
  <c r="AV22" i="9"/>
  <c r="AW22" i="9"/>
  <c r="AX22" i="9"/>
  <c r="AY22" i="9"/>
  <c r="AZ22" i="9"/>
  <c r="BA22" i="9"/>
  <c r="BB22" i="9"/>
  <c r="BC22" i="9"/>
  <c r="BD22" i="9"/>
  <c r="BE22" i="9"/>
  <c r="BF22" i="9"/>
  <c r="BG22" i="9"/>
  <c r="BH22" i="9"/>
  <c r="AI24" i="9"/>
  <c r="B26" i="9"/>
  <c r="X26" i="9"/>
  <c r="X13" i="10" s="1"/>
  <c r="Y26" i="9"/>
  <c r="Z85" i="9" s="1"/>
  <c r="Z26" i="9"/>
  <c r="AA26" i="9"/>
  <c r="AB26" i="9"/>
  <c r="AC26" i="9"/>
  <c r="AD85" i="9" s="1"/>
  <c r="AD26" i="9"/>
  <c r="AE26" i="9"/>
  <c r="AF26" i="9"/>
  <c r="AG26" i="9"/>
  <c r="AH85" i="9" s="1"/>
  <c r="AH26" i="9"/>
  <c r="AI26" i="9"/>
  <c r="AJ26" i="9"/>
  <c r="AK26" i="9"/>
  <c r="AL85" i="9" s="1"/>
  <c r="AL26" i="9"/>
  <c r="AM26" i="9"/>
  <c r="AN26" i="9"/>
  <c r="AO26" i="9"/>
  <c r="AP85" i="9" s="1"/>
  <c r="AP26" i="9"/>
  <c r="AQ26" i="9"/>
  <c r="AR26" i="9"/>
  <c r="AS26" i="9"/>
  <c r="AT26" i="9"/>
  <c r="AU26" i="9"/>
  <c r="AV26" i="9"/>
  <c r="AW26" i="9"/>
  <c r="AX26" i="9"/>
  <c r="AY26" i="9"/>
  <c r="AZ26" i="9"/>
  <c r="BA26" i="9"/>
  <c r="BB26" i="9"/>
  <c r="BC26" i="9"/>
  <c r="BD26" i="9"/>
  <c r="BE26" i="9"/>
  <c r="BF26" i="9"/>
  <c r="BG26" i="9"/>
  <c r="BH26" i="9"/>
  <c r="BI85" i="9" s="1"/>
  <c r="B27" i="9"/>
  <c r="B28" i="9"/>
  <c r="X28" i="9"/>
  <c r="Y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L86" i="9" s="1"/>
  <c r="AM28" i="9"/>
  <c r="AN28" i="9"/>
  <c r="AO28" i="9"/>
  <c r="AP28" i="9"/>
  <c r="AQ28" i="9"/>
  <c r="AR28" i="9"/>
  <c r="AS28" i="9"/>
  <c r="AT28" i="9"/>
  <c r="AU28" i="9"/>
  <c r="AW28" i="9"/>
  <c r="AX28" i="9"/>
  <c r="AY28" i="9"/>
  <c r="AZ28" i="9"/>
  <c r="BA28" i="9"/>
  <c r="BB28" i="9"/>
  <c r="BC28" i="9"/>
  <c r="BD28" i="9"/>
  <c r="BE28" i="9"/>
  <c r="BF28" i="9"/>
  <c r="BG28" i="9"/>
  <c r="BH28" i="9"/>
  <c r="B29" i="9"/>
  <c r="X29" i="9"/>
  <c r="X16" i="10" s="1"/>
  <c r="Y29" i="9"/>
  <c r="Y86" i="9" s="1"/>
  <c r="Z29" i="9"/>
  <c r="AA29" i="9"/>
  <c r="AB29" i="9"/>
  <c r="AC29" i="9"/>
  <c r="AD29" i="9"/>
  <c r="AE29" i="9"/>
  <c r="AF29" i="9"/>
  <c r="AG29" i="9"/>
  <c r="AH29" i="9"/>
  <c r="AI29" i="9"/>
  <c r="AJ29" i="9"/>
  <c r="AK29" i="9"/>
  <c r="AL29" i="9"/>
  <c r="AM29" i="9"/>
  <c r="AN29" i="9"/>
  <c r="AO29" i="9"/>
  <c r="AO86" i="9" s="1"/>
  <c r="AP29" i="9"/>
  <c r="AQ29" i="9"/>
  <c r="AR29" i="9"/>
  <c r="AS29" i="9"/>
  <c r="AT29" i="9"/>
  <c r="AU29" i="9"/>
  <c r="AV29" i="9"/>
  <c r="AW29" i="9"/>
  <c r="AX29" i="9"/>
  <c r="AY29" i="9"/>
  <c r="AZ29" i="9"/>
  <c r="BA29" i="9"/>
  <c r="BB29" i="9"/>
  <c r="BC29" i="9"/>
  <c r="BD29" i="9"/>
  <c r="BE29" i="9"/>
  <c r="BF29" i="9"/>
  <c r="BG29" i="9"/>
  <c r="BH29" i="9"/>
  <c r="B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V30" i="9"/>
  <c r="AW30" i="9"/>
  <c r="AX30" i="9"/>
  <c r="AY30" i="9"/>
  <c r="AZ30" i="9"/>
  <c r="BA30" i="9"/>
  <c r="BB30" i="9"/>
  <c r="BC30" i="9"/>
  <c r="BD30" i="9"/>
  <c r="BE30" i="9"/>
  <c r="BF30" i="9"/>
  <c r="BG30" i="9"/>
  <c r="BH30" i="9"/>
  <c r="B31" i="9"/>
  <c r="X31" i="9"/>
  <c r="Y31" i="9"/>
  <c r="Z31" i="9"/>
  <c r="AA31" i="9"/>
  <c r="AB31" i="9"/>
  <c r="AC31" i="9"/>
  <c r="AD31" i="9"/>
  <c r="AE31" i="9"/>
  <c r="AF31" i="9"/>
  <c r="AG31" i="9"/>
  <c r="AH31" i="9"/>
  <c r="AI31" i="9"/>
  <c r="AJ31" i="9"/>
  <c r="AK31" i="9"/>
  <c r="AL31" i="9"/>
  <c r="AM31" i="9"/>
  <c r="AO31" i="9"/>
  <c r="AP31" i="9"/>
  <c r="AQ31" i="9"/>
  <c r="AR31" i="9"/>
  <c r="AS31" i="9"/>
  <c r="AT31" i="9"/>
  <c r="AU31" i="9"/>
  <c r="AV31" i="9"/>
  <c r="AY31" i="9"/>
  <c r="BA31" i="9"/>
  <c r="BB31" i="9"/>
  <c r="BD31" i="9"/>
  <c r="BE31" i="9"/>
  <c r="BF31" i="9"/>
  <c r="BG31" i="9"/>
  <c r="BH31" i="9"/>
  <c r="B32" i="9"/>
  <c r="AF32" i="9"/>
  <c r="AG32" i="9"/>
  <c r="AH32" i="9"/>
  <c r="AI32" i="9"/>
  <c r="AJ32" i="9"/>
  <c r="AK32" i="9"/>
  <c r="AL32" i="9"/>
  <c r="AM32" i="9"/>
  <c r="AN32" i="9"/>
  <c r="AO32" i="9"/>
  <c r="AP32" i="9"/>
  <c r="AQ32" i="9"/>
  <c r="AV32" i="9"/>
  <c r="AW32" i="9"/>
  <c r="AX32" i="9"/>
  <c r="AY32" i="9"/>
  <c r="AZ32" i="9"/>
  <c r="BA32" i="9"/>
  <c r="BB32" i="9"/>
  <c r="BC32" i="9"/>
  <c r="BD32" i="9"/>
  <c r="B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AT36" i="9"/>
  <c r="AU36" i="9"/>
  <c r="AV36" i="9"/>
  <c r="AW36" i="9"/>
  <c r="AX36" i="9"/>
  <c r="AY36" i="9"/>
  <c r="AZ36" i="9"/>
  <c r="BA36" i="9"/>
  <c r="BB36" i="9"/>
  <c r="BC36" i="9"/>
  <c r="BD36" i="9"/>
  <c r="BE36" i="9"/>
  <c r="BF36" i="9"/>
  <c r="BG36" i="9"/>
  <c r="BH36" i="9"/>
  <c r="B40" i="9"/>
  <c r="X40" i="9"/>
  <c r="X21" i="10" s="1"/>
  <c r="Y40" i="9"/>
  <c r="Z40" i="9"/>
  <c r="AA40" i="9"/>
  <c r="AB40" i="9"/>
  <c r="AC40" i="9"/>
  <c r="AD40" i="9"/>
  <c r="AE40" i="9"/>
  <c r="AF40" i="9"/>
  <c r="AG40" i="9"/>
  <c r="AH40" i="9"/>
  <c r="AI40" i="9"/>
  <c r="AJ40" i="9"/>
  <c r="AK40" i="9"/>
  <c r="AL40" i="9"/>
  <c r="AM40" i="9"/>
  <c r="AO40" i="9"/>
  <c r="AP40" i="9"/>
  <c r="AQ40" i="9"/>
  <c r="AR40" i="9"/>
  <c r="AS40" i="9"/>
  <c r="AT40" i="9"/>
  <c r="AY40" i="9"/>
  <c r="BA40" i="9"/>
  <c r="BB40" i="9"/>
  <c r="BC40" i="9"/>
  <c r="BD40" i="9"/>
  <c r="BE40" i="9"/>
  <c r="BF40" i="9"/>
  <c r="BG40" i="9"/>
  <c r="BH40" i="9"/>
  <c r="B41" i="9"/>
  <c r="X41" i="9"/>
  <c r="Y41" i="9"/>
  <c r="Z41" i="9"/>
  <c r="AA41" i="9"/>
  <c r="AB41" i="9"/>
  <c r="AC41" i="9"/>
  <c r="AD41" i="9"/>
  <c r="AE41" i="9"/>
  <c r="AF41" i="9"/>
  <c r="AG41" i="9"/>
  <c r="AH41" i="9"/>
  <c r="AI41" i="9"/>
  <c r="AJ41" i="9"/>
  <c r="AK41" i="9"/>
  <c r="AL41" i="9"/>
  <c r="AM41" i="9"/>
  <c r="AN41" i="9"/>
  <c r="AO41" i="9"/>
  <c r="AP41" i="9"/>
  <c r="AQ41" i="9"/>
  <c r="AR41" i="9"/>
  <c r="AS41" i="9"/>
  <c r="AT41" i="9"/>
  <c r="AU41" i="9"/>
  <c r="AV41" i="9"/>
  <c r="AW41" i="9"/>
  <c r="AX41" i="9"/>
  <c r="AY41" i="9"/>
  <c r="AZ41" i="9"/>
  <c r="BA41" i="9"/>
  <c r="BB41" i="9"/>
  <c r="BC41" i="9"/>
  <c r="BD41" i="9"/>
  <c r="BE41" i="9"/>
  <c r="BF41" i="9"/>
  <c r="BG41" i="9"/>
  <c r="BH41" i="9"/>
  <c r="BJ41" i="9"/>
  <c r="BK41" i="9"/>
  <c r="BM41" i="9"/>
  <c r="BP41" i="9"/>
  <c r="BQ41" i="9"/>
  <c r="BT41" i="9"/>
  <c r="BU41" i="9"/>
  <c r="BV41" i="9"/>
  <c r="BW41" i="9"/>
  <c r="BX41" i="9"/>
  <c r="BY41" i="9"/>
  <c r="BZ41" i="9"/>
  <c r="CA41" i="9"/>
  <c r="CB41" i="9"/>
  <c r="CC41" i="9"/>
  <c r="CD41" i="9"/>
  <c r="CE41" i="9"/>
  <c r="CF41" i="9"/>
  <c r="CG41" i="9"/>
  <c r="CH41" i="9"/>
  <c r="CI41" i="9"/>
  <c r="B45" i="9"/>
  <c r="X45" i="9"/>
  <c r="Y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AR45" i="9"/>
  <c r="AS45" i="9"/>
  <c r="AT45" i="9"/>
  <c r="AU45" i="9"/>
  <c r="AV45" i="9"/>
  <c r="AW45" i="9"/>
  <c r="AX45" i="9"/>
  <c r="AY45" i="9"/>
  <c r="AZ45" i="9"/>
  <c r="BA45" i="9"/>
  <c r="BB45" i="9"/>
  <c r="BC45" i="9"/>
  <c r="BD45" i="9"/>
  <c r="BE45" i="9"/>
  <c r="BF45" i="9"/>
  <c r="BG45" i="9"/>
  <c r="BH45" i="9"/>
  <c r="B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AN49" i="9"/>
  <c r="AO49" i="9"/>
  <c r="AP49" i="9"/>
  <c r="AQ49" i="9"/>
  <c r="AR49" i="9"/>
  <c r="AS49" i="9"/>
  <c r="AT49" i="9"/>
  <c r="AU49" i="9"/>
  <c r="AY49" i="9"/>
  <c r="BA49" i="9"/>
  <c r="BB49" i="9"/>
  <c r="BC49" i="9"/>
  <c r="BD49" i="9"/>
  <c r="BE49" i="9"/>
  <c r="BF49" i="9"/>
  <c r="BG49" i="9"/>
  <c r="BH49" i="9"/>
  <c r="BJ49" i="9"/>
  <c r="BM49" i="9"/>
  <c r="BP49" i="9"/>
  <c r="BQ49" i="9"/>
  <c r="BT49" i="9"/>
  <c r="BU49" i="9"/>
  <c r="BV49" i="9"/>
  <c r="BW49" i="9"/>
  <c r="BX49" i="9"/>
  <c r="BY49" i="9"/>
  <c r="BZ49" i="9"/>
  <c r="CA49" i="9"/>
  <c r="CB49" i="9"/>
  <c r="CC49" i="9"/>
  <c r="CD49" i="9"/>
  <c r="CE49" i="9"/>
  <c r="CF49" i="9"/>
  <c r="CG49" i="9"/>
  <c r="CH49" i="9"/>
  <c r="CI49" i="9"/>
  <c r="Y53" i="9"/>
  <c r="Z53" i="9"/>
  <c r="AA53" i="9"/>
  <c r="AB53" i="9"/>
  <c r="AC53" i="9"/>
  <c r="AD53" i="9"/>
  <c r="AE53" i="9"/>
  <c r="AF53" i="9"/>
  <c r="AG53" i="9"/>
  <c r="AH53" i="9"/>
  <c r="AI53" i="9"/>
  <c r="AL53" i="9"/>
  <c r="AM53" i="9"/>
  <c r="AN53" i="9"/>
  <c r="AO53" i="9"/>
  <c r="AP53" i="9"/>
  <c r="AQ53" i="9"/>
  <c r="AR53" i="9"/>
  <c r="AS53" i="9"/>
  <c r="AT53" i="9"/>
  <c r="AU53" i="9"/>
  <c r="AX53" i="9"/>
  <c r="AY53" i="9"/>
  <c r="AZ53" i="9"/>
  <c r="BA53" i="9"/>
  <c r="BB53" i="9"/>
  <c r="BC53" i="9"/>
  <c r="BD53" i="9"/>
  <c r="BE53" i="9"/>
  <c r="BF53" i="9"/>
  <c r="BG53" i="9"/>
  <c r="BK53" i="9"/>
  <c r="BM53" i="9"/>
  <c r="BP53" i="9"/>
  <c r="BQ53" i="9"/>
  <c r="BT53" i="9"/>
  <c r="BU53" i="9"/>
  <c r="BV53" i="9"/>
  <c r="BW53" i="9"/>
  <c r="BX53" i="9"/>
  <c r="BY53" i="9"/>
  <c r="CB53" i="9"/>
  <c r="CC53" i="9"/>
  <c r="CD53" i="9"/>
  <c r="CE53" i="9"/>
  <c r="CF53" i="9"/>
  <c r="CG53" i="9"/>
  <c r="CH53" i="9"/>
  <c r="CI53" i="9"/>
  <c r="X65" i="9"/>
  <c r="X64" i="9" s="1"/>
  <c r="Y65" i="9"/>
  <c r="Y64" i="9" s="1"/>
  <c r="Z65" i="9"/>
  <c r="Z64" i="9" s="1"/>
  <c r="AA65" i="9"/>
  <c r="AA64" i="9" s="1"/>
  <c r="AB65" i="9"/>
  <c r="AB64" i="9" s="1"/>
  <c r="AC65" i="9"/>
  <c r="AC64" i="9" s="1"/>
  <c r="AD65" i="9"/>
  <c r="AD64" i="9" s="1"/>
  <c r="AE65" i="9"/>
  <c r="AE64" i="9" s="1"/>
  <c r="AF65" i="9"/>
  <c r="AF64" i="9" s="1"/>
  <c r="AG65" i="9"/>
  <c r="AG64" i="9" s="1"/>
  <c r="AH65" i="9"/>
  <c r="AH64" i="9" s="1"/>
  <c r="AI65" i="9"/>
  <c r="AI64" i="9" s="1"/>
  <c r="AJ65" i="9"/>
  <c r="AJ64" i="9" s="1"/>
  <c r="AK65" i="9"/>
  <c r="AK64" i="9" s="1"/>
  <c r="AL65" i="9"/>
  <c r="AL64" i="9" s="1"/>
  <c r="AM65" i="9"/>
  <c r="AM64" i="9" s="1"/>
  <c r="AN65" i="9"/>
  <c r="AN64" i="9" s="1"/>
  <c r="AO65" i="9"/>
  <c r="AO64" i="9" s="1"/>
  <c r="AP65" i="9"/>
  <c r="AP64" i="9" s="1"/>
  <c r="AQ65" i="9"/>
  <c r="AQ64" i="9" s="1"/>
  <c r="AR65" i="9"/>
  <c r="AR64" i="9" s="1"/>
  <c r="AS65" i="9"/>
  <c r="AS64" i="9" s="1"/>
  <c r="AT65" i="9"/>
  <c r="AT64" i="9" s="1"/>
  <c r="AU65" i="9"/>
  <c r="AU64" i="9" s="1"/>
  <c r="AV65" i="9"/>
  <c r="AV64" i="9" s="1"/>
  <c r="AW65" i="9"/>
  <c r="AW64" i="9" s="1"/>
  <c r="AZ65" i="9"/>
  <c r="AZ64" i="9" s="1"/>
  <c r="BA65" i="9"/>
  <c r="BA64" i="9" s="1"/>
  <c r="BB65" i="9"/>
  <c r="BB64" i="9" s="1"/>
  <c r="BC65" i="9"/>
  <c r="BC64" i="9" s="1"/>
  <c r="BD65" i="9"/>
  <c r="BD64" i="9" s="1"/>
  <c r="BE65" i="9"/>
  <c r="BE64" i="9" s="1"/>
  <c r="BF65" i="9"/>
  <c r="BF64" i="9" s="1"/>
  <c r="BG65" i="9"/>
  <c r="BG64" i="9" s="1"/>
  <c r="BH65" i="9"/>
  <c r="BH64" i="9" s="1"/>
  <c r="Y67" i="9"/>
  <c r="Z67" i="9"/>
  <c r="AA67" i="9"/>
  <c r="AB67" i="9"/>
  <c r="AB82" i="9" s="1"/>
  <c r="AB96" i="9" s="1"/>
  <c r="AB118" i="9" s="1"/>
  <c r="AB126" i="9" s="1"/>
  <c r="AB140" i="9" s="1"/>
  <c r="AB90" i="9" s="1"/>
  <c r="AC67" i="9"/>
  <c r="AD67" i="9"/>
  <c r="AD82" i="9" s="1"/>
  <c r="AD96" i="9" s="1"/>
  <c r="AD118" i="9" s="1"/>
  <c r="AD126" i="9" s="1"/>
  <c r="AD140" i="9" s="1"/>
  <c r="AD90" i="9" s="1"/>
  <c r="AE67" i="9"/>
  <c r="AE82" i="9" s="1"/>
  <c r="AE96" i="9" s="1"/>
  <c r="AE118" i="9" s="1"/>
  <c r="AE126" i="9" s="1"/>
  <c r="AE140" i="9" s="1"/>
  <c r="AE90" i="9" s="1"/>
  <c r="AF67" i="9"/>
  <c r="AF82" i="9" s="1"/>
  <c r="AG67" i="9"/>
  <c r="AH67" i="9"/>
  <c r="AH82" i="9" s="1"/>
  <c r="AH96" i="9" s="1"/>
  <c r="AH118" i="9" s="1"/>
  <c r="AH126" i="9" s="1"/>
  <c r="AH140" i="9" s="1"/>
  <c r="AH90" i="9" s="1"/>
  <c r="AI67" i="9"/>
  <c r="AI82" i="9" s="1"/>
  <c r="AI96" i="9" s="1"/>
  <c r="AI118" i="9" s="1"/>
  <c r="AI126" i="9" s="1"/>
  <c r="AI140" i="9" s="1"/>
  <c r="AI90" i="9" s="1"/>
  <c r="AL67" i="9"/>
  <c r="AL82" i="9" s="1"/>
  <c r="AL96" i="9" s="1"/>
  <c r="AL118" i="9" s="1"/>
  <c r="AL126" i="9" s="1"/>
  <c r="AL140" i="9" s="1"/>
  <c r="AL90" i="9" s="1"/>
  <c r="AM67" i="9"/>
  <c r="AN67" i="9"/>
  <c r="AN82" i="9" s="1"/>
  <c r="AO67" i="9"/>
  <c r="AP67" i="9"/>
  <c r="AP82" i="9" s="1"/>
  <c r="AP96" i="9" s="1"/>
  <c r="AP118" i="9" s="1"/>
  <c r="AP126" i="9" s="1"/>
  <c r="AP140" i="9" s="1"/>
  <c r="AP90" i="9" s="1"/>
  <c r="AQ67" i="9"/>
  <c r="AR67" i="9"/>
  <c r="AR82" i="9" s="1"/>
  <c r="AR96" i="9" s="1"/>
  <c r="AR118" i="9" s="1"/>
  <c r="AR126" i="9" s="1"/>
  <c r="AR140" i="9" s="1"/>
  <c r="AR90" i="9" s="1"/>
  <c r="AS67" i="9"/>
  <c r="AS82" i="9" s="1"/>
  <c r="AS96" i="9" s="1"/>
  <c r="AS118" i="9" s="1"/>
  <c r="AS126" i="9" s="1"/>
  <c r="AS140" i="9" s="1"/>
  <c r="AS90" i="9" s="1"/>
  <c r="AT67" i="9"/>
  <c r="AT82" i="9" s="1"/>
  <c r="AU67" i="9"/>
  <c r="AX67" i="9"/>
  <c r="AX82" i="9" s="1"/>
  <c r="AX96" i="9" s="1"/>
  <c r="AX118" i="9" s="1"/>
  <c r="AX126" i="9" s="1"/>
  <c r="AX140" i="9" s="1"/>
  <c r="AX90" i="9" s="1"/>
  <c r="AY67" i="9"/>
  <c r="AZ67" i="9"/>
  <c r="AZ82" i="9" s="1"/>
  <c r="AZ96" i="9" s="1"/>
  <c r="AZ118" i="9" s="1"/>
  <c r="AZ126" i="9" s="1"/>
  <c r="AZ140" i="9" s="1"/>
  <c r="AZ90" i="9" s="1"/>
  <c r="BA67" i="9"/>
  <c r="BB67" i="9"/>
  <c r="BB82" i="9" s="1"/>
  <c r="BB96" i="9" s="1"/>
  <c r="BB118" i="9" s="1"/>
  <c r="BB126" i="9" s="1"/>
  <c r="BB140" i="9" s="1"/>
  <c r="BB90" i="9" s="1"/>
  <c r="BC67" i="9"/>
  <c r="BC82" i="9" s="1"/>
  <c r="BC96" i="9" s="1"/>
  <c r="BC118" i="9" s="1"/>
  <c r="BC126" i="9" s="1"/>
  <c r="BC140" i="9" s="1"/>
  <c r="BC90" i="9" s="1"/>
  <c r="BD67" i="9"/>
  <c r="BD82" i="9" s="1"/>
  <c r="BD96" i="9" s="1"/>
  <c r="BD118" i="9" s="1"/>
  <c r="BD126" i="9" s="1"/>
  <c r="BD140" i="9" s="1"/>
  <c r="BD90" i="9" s="1"/>
  <c r="BE67" i="9"/>
  <c r="BF67" i="9"/>
  <c r="BF82" i="9" s="1"/>
  <c r="BF96" i="9" s="1"/>
  <c r="BF118" i="9" s="1"/>
  <c r="BF126" i="9" s="1"/>
  <c r="BF140" i="9" s="1"/>
  <c r="BF90" i="9" s="1"/>
  <c r="BG67" i="9"/>
  <c r="BG82" i="9" s="1"/>
  <c r="BG96" i="9" s="1"/>
  <c r="BG118" i="9" s="1"/>
  <c r="BG126" i="9" s="1"/>
  <c r="BG140" i="9" s="1"/>
  <c r="BG90" i="9" s="1"/>
  <c r="BM67" i="9"/>
  <c r="BM82" i="9" s="1"/>
  <c r="BM96" i="9" s="1"/>
  <c r="BM118" i="9" s="1"/>
  <c r="BM126" i="9" s="1"/>
  <c r="BM140" i="9" s="1"/>
  <c r="BM90" i="9" s="1"/>
  <c r="BQ67" i="9"/>
  <c r="BQ82" i="9" s="1"/>
  <c r="BQ96" i="9" s="1"/>
  <c r="BQ118" i="9" s="1"/>
  <c r="BQ126" i="9" s="1"/>
  <c r="BQ140" i="9" s="1"/>
  <c r="BQ90" i="9" s="1"/>
  <c r="BU67" i="9"/>
  <c r="BW67" i="9"/>
  <c r="BW82" i="9" s="1"/>
  <c r="BW96" i="9" s="1"/>
  <c r="BW118" i="9" s="1"/>
  <c r="BW126" i="9" s="1"/>
  <c r="BW140" i="9" s="1"/>
  <c r="BW90" i="9" s="1"/>
  <c r="BY67" i="9"/>
  <c r="BY82" i="9" s="1"/>
  <c r="BY96" i="9" s="1"/>
  <c r="BY118" i="9" s="1"/>
  <c r="BY126" i="9" s="1"/>
  <c r="BY140" i="9" s="1"/>
  <c r="BY90" i="9" s="1"/>
  <c r="CA67" i="9"/>
  <c r="CA82" i="9" s="1"/>
  <c r="CA96" i="9" s="1"/>
  <c r="CA118" i="9" s="1"/>
  <c r="CA126" i="9" s="1"/>
  <c r="CA140" i="9" s="1"/>
  <c r="CA90" i="9" s="1"/>
  <c r="CC67" i="9"/>
  <c r="CC82" i="9" s="1"/>
  <c r="CC96" i="9" s="1"/>
  <c r="CC118" i="9" s="1"/>
  <c r="CC126" i="9" s="1"/>
  <c r="CC140" i="9" s="1"/>
  <c r="CC90" i="9" s="1"/>
  <c r="CE67" i="9"/>
  <c r="CE82" i="9" s="1"/>
  <c r="CE96" i="9" s="1"/>
  <c r="CE118" i="9" s="1"/>
  <c r="CE126" i="9" s="1"/>
  <c r="CE140" i="9" s="1"/>
  <c r="CE90" i="9" s="1"/>
  <c r="CG67" i="9"/>
  <c r="CG82" i="9" s="1"/>
  <c r="CG96" i="9" s="1"/>
  <c r="CG118" i="9" s="1"/>
  <c r="CG126" i="9" s="1"/>
  <c r="CG140" i="9" s="1"/>
  <c r="CG90" i="9" s="1"/>
  <c r="CI67" i="9"/>
  <c r="CI82" i="9" s="1"/>
  <c r="CI96" i="9" s="1"/>
  <c r="CI118" i="9" s="1"/>
  <c r="CI126" i="9" s="1"/>
  <c r="CI140" i="9" s="1"/>
  <c r="CI90" i="9" s="1"/>
  <c r="Y82" i="9"/>
  <c r="Y96" i="9" s="1"/>
  <c r="Y118" i="9" s="1"/>
  <c r="Y126" i="9" s="1"/>
  <c r="Y140" i="9" s="1"/>
  <c r="Y90" i="9" s="1"/>
  <c r="Z82" i="9"/>
  <c r="Z96" i="9" s="1"/>
  <c r="Z118" i="9" s="1"/>
  <c r="Z126" i="9" s="1"/>
  <c r="Z140" i="9" s="1"/>
  <c r="Z90" i="9" s="1"/>
  <c r="AA82" i="9"/>
  <c r="AC82" i="9"/>
  <c r="AC96" i="9" s="1"/>
  <c r="AC118" i="9" s="1"/>
  <c r="AC126" i="9" s="1"/>
  <c r="AC140" i="9" s="1"/>
  <c r="AC90" i="9" s="1"/>
  <c r="AG82" i="9"/>
  <c r="AG96" i="9" s="1"/>
  <c r="AG118" i="9" s="1"/>
  <c r="AG126" i="9" s="1"/>
  <c r="AG140" i="9" s="1"/>
  <c r="AG90" i="9" s="1"/>
  <c r="AM82" i="9"/>
  <c r="AM96" i="9" s="1"/>
  <c r="AM118" i="9" s="1"/>
  <c r="AM126" i="9" s="1"/>
  <c r="AM140" i="9" s="1"/>
  <c r="AM90" i="9" s="1"/>
  <c r="AO82" i="9"/>
  <c r="AO96" i="9" s="1"/>
  <c r="AO118" i="9" s="1"/>
  <c r="AO126" i="9" s="1"/>
  <c r="AO140" i="9" s="1"/>
  <c r="AO90" i="9" s="1"/>
  <c r="AQ82" i="9"/>
  <c r="AQ96" i="9" s="1"/>
  <c r="AQ118" i="9" s="1"/>
  <c r="AQ126" i="9" s="1"/>
  <c r="AQ140" i="9" s="1"/>
  <c r="AQ90" i="9" s="1"/>
  <c r="AU82" i="9"/>
  <c r="AU96" i="9" s="1"/>
  <c r="AU118" i="9" s="1"/>
  <c r="AU126" i="9" s="1"/>
  <c r="AU140" i="9" s="1"/>
  <c r="AU90" i="9" s="1"/>
  <c r="AY82" i="9"/>
  <c r="AY96" i="9" s="1"/>
  <c r="AY118" i="9" s="1"/>
  <c r="AY126" i="9" s="1"/>
  <c r="AY140" i="9" s="1"/>
  <c r="AY90" i="9" s="1"/>
  <c r="BA82" i="9"/>
  <c r="BA96" i="9" s="1"/>
  <c r="BA118" i="9" s="1"/>
  <c r="BA126" i="9" s="1"/>
  <c r="BA140" i="9" s="1"/>
  <c r="BA90" i="9" s="1"/>
  <c r="BE82" i="9"/>
  <c r="BE96" i="9" s="1"/>
  <c r="BE118" i="9" s="1"/>
  <c r="BE126" i="9" s="1"/>
  <c r="BE140" i="9" s="1"/>
  <c r="BE90" i="9" s="1"/>
  <c r="BU82" i="9"/>
  <c r="BU96" i="9" s="1"/>
  <c r="BU118" i="9" s="1"/>
  <c r="BU126" i="9" s="1"/>
  <c r="BU140" i="9" s="1"/>
  <c r="BU90" i="9" s="1"/>
  <c r="AM84" i="9"/>
  <c r="AA85" i="9"/>
  <c r="AQ85" i="9"/>
  <c r="AR91" i="9"/>
  <c r="AA96" i="9"/>
  <c r="AA118" i="9" s="1"/>
  <c r="AA126" i="9" s="1"/>
  <c r="AA140" i="9" s="1"/>
  <c r="AA90" i="9" s="1"/>
  <c r="AF96" i="9"/>
  <c r="AF118" i="9" s="1"/>
  <c r="AF126" i="9" s="1"/>
  <c r="AF140" i="9" s="1"/>
  <c r="AF90" i="9" s="1"/>
  <c r="AN96" i="9"/>
  <c r="AN118" i="9" s="1"/>
  <c r="AN126" i="9" s="1"/>
  <c r="AN140" i="9" s="1"/>
  <c r="AN90" i="9" s="1"/>
  <c r="AT96" i="9"/>
  <c r="AT118" i="9" s="1"/>
  <c r="AT126" i="9" s="1"/>
  <c r="AT140" i="9" s="1"/>
  <c r="AT90" i="9" s="1"/>
  <c r="BT96" i="9"/>
  <c r="BT118" i="9" s="1"/>
  <c r="BT126" i="9" s="1"/>
  <c r="BT140" i="9" s="1"/>
  <c r="BT90" i="9" s="1"/>
  <c r="BX96" i="9"/>
  <c r="BX118" i="9" s="1"/>
  <c r="BX126" i="9" s="1"/>
  <c r="BX140" i="9" s="1"/>
  <c r="BX90" i="9" s="1"/>
  <c r="CB96" i="9"/>
  <c r="CF96" i="9"/>
  <c r="CF118" i="9" s="1"/>
  <c r="CF126" i="9" s="1"/>
  <c r="CF140" i="9" s="1"/>
  <c r="CF90" i="9" s="1"/>
  <c r="X99" i="9"/>
  <c r="X141" i="9" s="1"/>
  <c r="Y99" i="9"/>
  <c r="Y141" i="9" s="1"/>
  <c r="Z99" i="9"/>
  <c r="AA99" i="9"/>
  <c r="AB99" i="9"/>
  <c r="AB141" i="9" s="1"/>
  <c r="AC99" i="9"/>
  <c r="AD99" i="9"/>
  <c r="AD141" i="9" s="1"/>
  <c r="AE99" i="9"/>
  <c r="AE141" i="9" s="1"/>
  <c r="AF99" i="9"/>
  <c r="AF141" i="9" s="1"/>
  <c r="AG99" i="9"/>
  <c r="AG141" i="9" s="1"/>
  <c r="AH99" i="9"/>
  <c r="AI99" i="9"/>
  <c r="AJ99" i="9"/>
  <c r="AJ141" i="9" s="1"/>
  <c r="AK99" i="9"/>
  <c r="AL99" i="9"/>
  <c r="AL141" i="9" s="1"/>
  <c r="AM99" i="9"/>
  <c r="AN99" i="9"/>
  <c r="AN141" i="9" s="1"/>
  <c r="AO99" i="9"/>
  <c r="AO141" i="9" s="1"/>
  <c r="AP99" i="9"/>
  <c r="AQ99" i="9"/>
  <c r="AV99" i="9"/>
  <c r="AV141" i="9" s="1"/>
  <c r="AW99" i="9"/>
  <c r="AX99" i="9"/>
  <c r="AY99" i="9"/>
  <c r="AZ99" i="9"/>
  <c r="AZ141" i="9" s="1"/>
  <c r="BA99" i="9"/>
  <c r="BB99" i="9"/>
  <c r="BC99" i="9"/>
  <c r="BD99" i="9"/>
  <c r="BD141" i="9" s="1"/>
  <c r="BE99" i="9"/>
  <c r="BF99" i="9"/>
  <c r="BG99" i="9"/>
  <c r="BH99" i="9"/>
  <c r="BH141" i="9" s="1"/>
  <c r="X105" i="9"/>
  <c r="Y105" i="9"/>
  <c r="Z105" i="9"/>
  <c r="AA105" i="9"/>
  <c r="AB135" i="9" s="1"/>
  <c r="AB105" i="9"/>
  <c r="AC105" i="9"/>
  <c r="AD105" i="9"/>
  <c r="AE105" i="9"/>
  <c r="AF105" i="9"/>
  <c r="AG105" i="9"/>
  <c r="AH105" i="9"/>
  <c r="AI105" i="9"/>
  <c r="AJ135" i="9" s="1"/>
  <c r="AJ105" i="9"/>
  <c r="AK105" i="9"/>
  <c r="AL105" i="9"/>
  <c r="AM105" i="9"/>
  <c r="AN105" i="9"/>
  <c r="AO105" i="9"/>
  <c r="AP105" i="9"/>
  <c r="AQ105" i="9"/>
  <c r="AR105" i="9"/>
  <c r="AS105" i="9"/>
  <c r="AT105" i="9"/>
  <c r="AU105" i="9"/>
  <c r="AV105" i="9"/>
  <c r="AW105" i="9"/>
  <c r="AX105" i="9"/>
  <c r="AY105" i="9"/>
  <c r="AZ105" i="9"/>
  <c r="BA105" i="9"/>
  <c r="BB105" i="9"/>
  <c r="BC105" i="9"/>
  <c r="BD105" i="9"/>
  <c r="BE105" i="9"/>
  <c r="BF105" i="9"/>
  <c r="BG105" i="9"/>
  <c r="BH105" i="9"/>
  <c r="X111" i="9"/>
  <c r="Y111" i="9"/>
  <c r="Y60" i="9" s="1"/>
  <c r="Z111" i="9"/>
  <c r="AA111" i="9"/>
  <c r="AB111" i="9"/>
  <c r="AC111" i="9"/>
  <c r="AD111" i="9"/>
  <c r="AE137" i="9" s="1"/>
  <c r="AE111" i="9"/>
  <c r="AF111" i="9"/>
  <c r="AG111" i="9"/>
  <c r="AH111" i="9"/>
  <c r="AI111" i="9"/>
  <c r="AJ111" i="9"/>
  <c r="AK111" i="9"/>
  <c r="AL111" i="9"/>
  <c r="AM137" i="9" s="1"/>
  <c r="AM111" i="9"/>
  <c r="CB118" i="9"/>
  <c r="CB126" i="9" s="1"/>
  <c r="CB140" i="9" s="1"/>
  <c r="CB90" i="9" s="1"/>
  <c r="AM133" i="9"/>
  <c r="AA141" i="9"/>
  <c r="AC141" i="9"/>
  <c r="AI141" i="9"/>
  <c r="AK141" i="9"/>
  <c r="AM141" i="9"/>
  <c r="AQ141" i="9"/>
  <c r="C149" i="9"/>
  <c r="X153" i="9"/>
  <c r="Y153" i="9"/>
  <c r="Z153" i="9"/>
  <c r="AA153" i="9"/>
  <c r="AB153" i="9"/>
  <c r="AC153" i="9"/>
  <c r="AD153" i="9"/>
  <c r="AE153" i="9"/>
  <c r="AF153" i="9"/>
  <c r="AG153" i="9"/>
  <c r="AH153" i="9"/>
  <c r="AI153" i="9"/>
  <c r="AJ153" i="9"/>
  <c r="AK153" i="9"/>
  <c r="AL153" i="9"/>
  <c r="AM153" i="9"/>
  <c r="AN153" i="9"/>
  <c r="AO153" i="9"/>
  <c r="AP153" i="9"/>
  <c r="AQ153" i="9"/>
  <c r="AR153" i="9"/>
  <c r="AS153" i="9"/>
  <c r="AT153" i="9"/>
  <c r="AU153" i="9"/>
  <c r="AV153" i="9"/>
  <c r="AW153" i="9"/>
  <c r="AX153" i="9"/>
  <c r="AY153" i="9"/>
  <c r="AZ153" i="9"/>
  <c r="BA153" i="9"/>
  <c r="BB153" i="9"/>
  <c r="BC153" i="9"/>
  <c r="BD153" i="9"/>
  <c r="BE153" i="9"/>
  <c r="BF153" i="9"/>
  <c r="BG153" i="9"/>
  <c r="BH153" i="9"/>
  <c r="C158" i="9"/>
  <c r="D158" i="9" s="1"/>
  <c r="E158" i="9" s="1"/>
  <c r="F158" i="9" s="1"/>
  <c r="G158" i="9" s="1"/>
  <c r="H158" i="9" s="1"/>
  <c r="I158" i="9" s="1"/>
  <c r="J158" i="9" s="1"/>
  <c r="K158" i="9" s="1"/>
  <c r="L158" i="9" s="1"/>
  <c r="M158" i="9" s="1"/>
  <c r="N158" i="9" s="1"/>
  <c r="O158" i="9" s="1"/>
  <c r="P158" i="9" s="1"/>
  <c r="Q158" i="9" s="1"/>
  <c r="R158" i="9" s="1"/>
  <c r="E11" i="9"/>
  <c r="F11" i="9"/>
  <c r="G11" i="9"/>
  <c r="H11" i="9"/>
  <c r="I11" i="9"/>
  <c r="J11" i="9"/>
  <c r="K11" i="9"/>
  <c r="L11" i="9"/>
  <c r="AA11" i="9"/>
  <c r="AB11" i="9"/>
  <c r="AC11" i="9"/>
  <c r="AD11" i="9"/>
  <c r="AE11" i="9"/>
  <c r="AF11" i="9"/>
  <c r="AG11" i="9"/>
  <c r="AH11" i="9"/>
  <c r="AI11" i="9"/>
  <c r="AB19" i="7"/>
  <c r="AB20" i="7"/>
  <c r="AB21" i="7"/>
  <c r="AB22" i="7"/>
  <c r="AB23" i="7"/>
  <c r="AB24" i="7"/>
  <c r="AB26" i="7"/>
  <c r="AB27" i="7"/>
  <c r="AD27" i="7"/>
  <c r="AE27" i="7"/>
  <c r="AF27" i="7"/>
  <c r="AG27" i="7"/>
  <c r="AH27" i="7"/>
  <c r="AI27" i="7"/>
  <c r="AJ27" i="7"/>
  <c r="AK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M27" i="7"/>
  <c r="BN27" i="7"/>
  <c r="BO27" i="7"/>
  <c r="BP27" i="7"/>
  <c r="BQ27" i="7"/>
  <c r="BR27" i="7"/>
  <c r="BS27" i="7"/>
  <c r="BT27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H27" i="7"/>
  <c r="CI27" i="7"/>
  <c r="CJ27" i="7"/>
  <c r="CK27" i="7"/>
  <c r="CL27" i="7"/>
  <c r="CM27" i="7"/>
  <c r="CN27" i="7"/>
  <c r="CO27" i="7"/>
  <c r="AB28" i="7"/>
  <c r="AD28" i="7"/>
  <c r="AE28" i="7"/>
  <c r="AF28" i="7"/>
  <c r="AG28" i="7"/>
  <c r="AH28" i="7"/>
  <c r="AI28" i="7"/>
  <c r="AJ28" i="7"/>
  <c r="AK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M28" i="7"/>
  <c r="BN28" i="7"/>
  <c r="BO28" i="7"/>
  <c r="BP28" i="7"/>
  <c r="BQ28" i="7"/>
  <c r="BR28" i="7"/>
  <c r="BS28" i="7"/>
  <c r="BT28" i="7"/>
  <c r="BU28" i="7"/>
  <c r="BV28" i="7"/>
  <c r="BW28" i="7"/>
  <c r="BX28" i="7"/>
  <c r="BY28" i="7"/>
  <c r="BZ28" i="7"/>
  <c r="CA28" i="7"/>
  <c r="CD28" i="7"/>
  <c r="CE28" i="7"/>
  <c r="CF28" i="7"/>
  <c r="CG28" i="7"/>
  <c r="CH28" i="7"/>
  <c r="CI28" i="7"/>
  <c r="CJ28" i="7"/>
  <c r="CK28" i="7"/>
  <c r="CL28" i="7"/>
  <c r="CM28" i="7"/>
  <c r="CN28" i="7"/>
  <c r="CO28" i="7"/>
  <c r="AB29" i="7"/>
  <c r="AD29" i="7"/>
  <c r="AE29" i="7"/>
  <c r="AF29" i="7"/>
  <c r="AG29" i="7"/>
  <c r="AH29" i="7"/>
  <c r="AI29" i="7"/>
  <c r="AJ29" i="7"/>
  <c r="AK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M29" i="7"/>
  <c r="BN29" i="7"/>
  <c r="BO29" i="7"/>
  <c r="BP29" i="7"/>
  <c r="BQ29" i="7"/>
  <c r="BR29" i="7"/>
  <c r="BS29" i="7"/>
  <c r="BT29" i="7"/>
  <c r="BV29" i="7"/>
  <c r="BW29" i="7"/>
  <c r="BX29" i="7"/>
  <c r="BY29" i="7"/>
  <c r="BZ29" i="7"/>
  <c r="CA29" i="7"/>
  <c r="CB29" i="7"/>
  <c r="CC29" i="7"/>
  <c r="CF29" i="7"/>
  <c r="CH29" i="7"/>
  <c r="CI29" i="7"/>
  <c r="CK29" i="7"/>
  <c r="CL29" i="7"/>
  <c r="CM29" i="7"/>
  <c r="CN29" i="7"/>
  <c r="CO29" i="7"/>
  <c r="AB30" i="7"/>
  <c r="AD30" i="7"/>
  <c r="AE30" i="7"/>
  <c r="AF30" i="7"/>
  <c r="AG30" i="7"/>
  <c r="AH30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AB32" i="7"/>
  <c r="AB33" i="7"/>
  <c r="AG33" i="7"/>
  <c r="AH33" i="7"/>
  <c r="AI33" i="7"/>
  <c r="AJ33" i="7"/>
  <c r="AK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M33" i="7"/>
  <c r="BN33" i="7"/>
  <c r="BO33" i="7"/>
  <c r="BP33" i="7"/>
  <c r="BQ33" i="7"/>
  <c r="BR33" i="7"/>
  <c r="BS33" i="7"/>
  <c r="BT33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H33" i="7"/>
  <c r="CI33" i="7"/>
  <c r="CJ33" i="7"/>
  <c r="CK33" i="7"/>
  <c r="CL33" i="7"/>
  <c r="CM33" i="7"/>
  <c r="CN33" i="7"/>
  <c r="CO33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AX35" i="7"/>
  <c r="AY35" i="7"/>
  <c r="AZ35" i="7"/>
  <c r="BA35" i="7"/>
  <c r="BB35" i="7"/>
  <c r="BC35" i="7"/>
  <c r="BD35" i="7"/>
  <c r="BE35" i="7"/>
  <c r="BF35" i="7"/>
  <c r="BG35" i="7"/>
  <c r="BH35" i="7"/>
  <c r="BI35" i="7"/>
  <c r="BJ35" i="7"/>
  <c r="BK35" i="7"/>
  <c r="BL35" i="7"/>
  <c r="BM35" i="7"/>
  <c r="BN35" i="7"/>
  <c r="BO35" i="7"/>
  <c r="BP35" i="7"/>
  <c r="BQ35" i="7"/>
  <c r="BR35" i="7"/>
  <c r="BS35" i="7"/>
  <c r="BT35" i="7"/>
  <c r="BU35" i="7"/>
  <c r="BV35" i="7"/>
  <c r="BW35" i="7"/>
  <c r="BX35" i="7"/>
  <c r="BY35" i="7"/>
  <c r="BZ35" i="7"/>
  <c r="CA35" i="7"/>
  <c r="CB35" i="7"/>
  <c r="CC35" i="7"/>
  <c r="CD35" i="7"/>
  <c r="CE35" i="7"/>
  <c r="CF35" i="7"/>
  <c r="CG35" i="7"/>
  <c r="CH35" i="7"/>
  <c r="CI35" i="7"/>
  <c r="CJ35" i="7"/>
  <c r="CK35" i="7"/>
  <c r="CL35" i="7"/>
  <c r="CM35" i="7"/>
  <c r="CN35" i="7"/>
  <c r="CO35" i="7"/>
  <c r="AB37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AX38" i="7"/>
  <c r="AY38" i="7"/>
  <c r="AZ38" i="7"/>
  <c r="AB39" i="7"/>
  <c r="AC39" i="7"/>
  <c r="AD39" i="7"/>
  <c r="AE39" i="7"/>
  <c r="AF39" i="7"/>
  <c r="AG39" i="7"/>
  <c r="AH39" i="7"/>
  <c r="AI39" i="7"/>
  <c r="AJ39" i="7"/>
  <c r="AK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AX39" i="7"/>
  <c r="AY39" i="7"/>
  <c r="AZ39" i="7"/>
  <c r="AB40" i="7"/>
  <c r="AD40" i="7"/>
  <c r="AE40" i="7"/>
  <c r="AF40" i="7"/>
  <c r="AG40" i="7"/>
  <c r="AH40" i="7"/>
  <c r="AI40" i="7"/>
  <c r="AJ40" i="7"/>
  <c r="AK40" i="7"/>
  <c r="AL40" i="7"/>
  <c r="AM40" i="7"/>
  <c r="AN40" i="7"/>
  <c r="AO40" i="7"/>
  <c r="AP40" i="7"/>
  <c r="AQ40" i="7"/>
  <c r="AR40" i="7"/>
  <c r="AS40" i="7"/>
  <c r="AT40" i="7"/>
  <c r="AU40" i="7"/>
  <c r="AV40" i="7"/>
  <c r="AW40" i="7"/>
  <c r="AX40" i="7"/>
  <c r="AY40" i="7"/>
  <c r="AZ40" i="7"/>
  <c r="BA40" i="7"/>
  <c r="BB40" i="7"/>
  <c r="BC40" i="7"/>
  <c r="BD40" i="7"/>
  <c r="BE40" i="7"/>
  <c r="BF40" i="7"/>
  <c r="BG40" i="7"/>
  <c r="BH40" i="7"/>
  <c r="BI40" i="7"/>
  <c r="BJ40" i="7"/>
  <c r="BK40" i="7"/>
  <c r="BL40" i="7"/>
  <c r="BM40" i="7"/>
  <c r="BN40" i="7"/>
  <c r="BO40" i="7"/>
  <c r="BP40" i="7"/>
  <c r="BQ40" i="7"/>
  <c r="BR40" i="7"/>
  <c r="BS40" i="7"/>
  <c r="BT40" i="7"/>
  <c r="BU40" i="7"/>
  <c r="BV40" i="7"/>
  <c r="BW40" i="7"/>
  <c r="BX40" i="7"/>
  <c r="BY40" i="7"/>
  <c r="BZ40" i="7"/>
  <c r="CA40" i="7"/>
  <c r="CB40" i="7"/>
  <c r="CC40" i="7"/>
  <c r="CD40" i="7"/>
  <c r="CE40" i="7"/>
  <c r="CF40" i="7"/>
  <c r="CG40" i="7"/>
  <c r="CH40" i="7"/>
  <c r="CI40" i="7"/>
  <c r="CJ40" i="7"/>
  <c r="CK40" i="7"/>
  <c r="CL40" i="7"/>
  <c r="CM40" i="7"/>
  <c r="CN40" i="7"/>
  <c r="CO40" i="7"/>
  <c r="AB41" i="7"/>
  <c r="AD41" i="7"/>
  <c r="AE41" i="7"/>
  <c r="AF41" i="7"/>
  <c r="AG41" i="7"/>
  <c r="AH41" i="7"/>
  <c r="AI41" i="7"/>
  <c r="AJ41" i="7"/>
  <c r="AK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AX41" i="7"/>
  <c r="AY41" i="7"/>
  <c r="AZ41" i="7"/>
  <c r="AB43" i="7"/>
  <c r="AB44" i="7"/>
  <c r="AD44" i="7"/>
  <c r="AE44" i="7"/>
  <c r="AF44" i="7"/>
  <c r="AG44" i="7"/>
  <c r="AH44" i="7"/>
  <c r="AI44" i="7"/>
  <c r="AJ44" i="7"/>
  <c r="AK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AX44" i="7"/>
  <c r="AY44" i="7"/>
  <c r="AZ44" i="7"/>
  <c r="BA44" i="7"/>
  <c r="BB44" i="7"/>
  <c r="BC44" i="7"/>
  <c r="BD44" i="7"/>
  <c r="BE44" i="7"/>
  <c r="BF44" i="7"/>
  <c r="BG44" i="7"/>
  <c r="BH44" i="7"/>
  <c r="BI44" i="7"/>
  <c r="BJ44" i="7"/>
  <c r="BK44" i="7"/>
  <c r="BL44" i="7"/>
  <c r="BM44" i="7"/>
  <c r="BN44" i="7"/>
  <c r="BO44" i="7"/>
  <c r="BP44" i="7"/>
  <c r="BQ44" i="7"/>
  <c r="BR44" i="7"/>
  <c r="BS44" i="7"/>
  <c r="BT44" i="7"/>
  <c r="BU44" i="7"/>
  <c r="AB45" i="7"/>
  <c r="AD45" i="7"/>
  <c r="AE45" i="7"/>
  <c r="AF45" i="7"/>
  <c r="AG45" i="7"/>
  <c r="AH45" i="7"/>
  <c r="AI45" i="7"/>
  <c r="AJ45" i="7"/>
  <c r="AK45" i="7"/>
  <c r="AL45" i="7"/>
  <c r="AM45" i="7"/>
  <c r="AN45" i="7"/>
  <c r="AO45" i="7"/>
  <c r="AP45" i="7"/>
  <c r="AQ45" i="7"/>
  <c r="AR45" i="7"/>
  <c r="AS45" i="7"/>
  <c r="AT45" i="7"/>
  <c r="AU45" i="7"/>
  <c r="AV45" i="7"/>
  <c r="AW45" i="7"/>
  <c r="AX45" i="7"/>
  <c r="AY45" i="7"/>
  <c r="AZ45" i="7"/>
  <c r="AB46" i="7"/>
  <c r="AD46" i="7"/>
  <c r="AE46" i="7"/>
  <c r="AF46" i="7"/>
  <c r="AG46" i="7"/>
  <c r="AH46" i="7"/>
  <c r="AI46" i="7"/>
  <c r="AJ46" i="7"/>
  <c r="AK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AX46" i="7"/>
  <c r="AY46" i="7"/>
  <c r="AZ46" i="7"/>
  <c r="AB47" i="7"/>
  <c r="AD47" i="7"/>
  <c r="AE47" i="7"/>
  <c r="AF47" i="7"/>
  <c r="AG47" i="7"/>
  <c r="AH47" i="7"/>
  <c r="AI47" i="7"/>
  <c r="AJ47" i="7"/>
  <c r="AK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AX47" i="7"/>
  <c r="AY47" i="7"/>
  <c r="AZ47" i="7"/>
  <c r="AB48" i="7"/>
  <c r="AD48" i="7"/>
  <c r="AE48" i="7"/>
  <c r="AF48" i="7"/>
  <c r="AG48" i="7"/>
  <c r="AH48" i="7"/>
  <c r="AI48" i="7"/>
  <c r="AJ48" i="7"/>
  <c r="AK48" i="7"/>
  <c r="AL48" i="7"/>
  <c r="AM48" i="7"/>
  <c r="AN48" i="7"/>
  <c r="AO48" i="7"/>
  <c r="AP48" i="7"/>
  <c r="AQ48" i="7"/>
  <c r="AR48" i="7"/>
  <c r="AS48" i="7"/>
  <c r="AT48" i="7"/>
  <c r="AU48" i="7"/>
  <c r="AV48" i="7"/>
  <c r="AW48" i="7"/>
  <c r="AX48" i="7"/>
  <c r="AY48" i="7"/>
  <c r="AZ48" i="7"/>
  <c r="AB50" i="7"/>
  <c r="AB51" i="7"/>
  <c r="AB52" i="7"/>
  <c r="AD52" i="7"/>
  <c r="AE52" i="7"/>
  <c r="AF52" i="7"/>
  <c r="AG52" i="7"/>
  <c r="AH52" i="7"/>
  <c r="AI52" i="7"/>
  <c r="AJ52" i="7"/>
  <c r="AK52" i="7"/>
  <c r="AL52" i="7"/>
  <c r="AM52" i="7"/>
  <c r="AN52" i="7"/>
  <c r="AO52" i="7"/>
  <c r="AP52" i="7"/>
  <c r="AQ52" i="7"/>
  <c r="AR52" i="7"/>
  <c r="AS52" i="7"/>
  <c r="AT52" i="7"/>
  <c r="AU52" i="7"/>
  <c r="AV52" i="7"/>
  <c r="AW52" i="7"/>
  <c r="AX52" i="7"/>
  <c r="AY52" i="7"/>
  <c r="AZ52" i="7"/>
  <c r="AB53" i="7"/>
  <c r="AD53" i="7"/>
  <c r="AE53" i="7"/>
  <c r="AF53" i="7"/>
  <c r="AG53" i="7"/>
  <c r="AH53" i="7"/>
  <c r="AI53" i="7"/>
  <c r="AJ53" i="7"/>
  <c r="AK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AX53" i="7"/>
  <c r="AY53" i="7"/>
  <c r="AZ53" i="7"/>
  <c r="BA53" i="7"/>
  <c r="BB53" i="7"/>
  <c r="BC53" i="7"/>
  <c r="BD53" i="7"/>
  <c r="BE53" i="7"/>
  <c r="BF53" i="7"/>
  <c r="BG53" i="7"/>
  <c r="BH53" i="7"/>
  <c r="BI53" i="7"/>
  <c r="BJ53" i="7"/>
  <c r="BK53" i="7"/>
  <c r="BL53" i="7"/>
  <c r="BM53" i="7"/>
  <c r="BN53" i="7"/>
  <c r="BO53" i="7"/>
  <c r="BP53" i="7"/>
  <c r="BQ53" i="7"/>
  <c r="BR53" i="7"/>
  <c r="BS53" i="7"/>
  <c r="BT53" i="7"/>
  <c r="BU53" i="7"/>
  <c r="BV53" i="7"/>
  <c r="BW53" i="7"/>
  <c r="BX53" i="7"/>
  <c r="BY53" i="7"/>
  <c r="BZ53" i="7"/>
  <c r="CA53" i="7"/>
  <c r="CB53" i="7"/>
  <c r="CC53" i="7"/>
  <c r="CD53" i="7"/>
  <c r="CE53" i="7"/>
  <c r="CF53" i="7"/>
  <c r="CG53" i="7"/>
  <c r="CH53" i="7"/>
  <c r="CI53" i="7"/>
  <c r="CJ53" i="7"/>
  <c r="CK53" i="7"/>
  <c r="CL53" i="7"/>
  <c r="CM53" i="7"/>
  <c r="CN53" i="7"/>
  <c r="CO53" i="7"/>
  <c r="AB54" i="7"/>
  <c r="AD54" i="7"/>
  <c r="AE54" i="7"/>
  <c r="AF54" i="7"/>
  <c r="AG54" i="7"/>
  <c r="AH54" i="7"/>
  <c r="AI54" i="7"/>
  <c r="AJ54" i="7"/>
  <c r="AK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X54" i="7"/>
  <c r="AY54" i="7"/>
  <c r="AZ54" i="7"/>
  <c r="BA54" i="7"/>
  <c r="BB54" i="7"/>
  <c r="BC54" i="7"/>
  <c r="BD54" i="7"/>
  <c r="BE54" i="7"/>
  <c r="BF54" i="7"/>
  <c r="BG54" i="7"/>
  <c r="BH54" i="7"/>
  <c r="BI54" i="7"/>
  <c r="BJ54" i="7"/>
  <c r="BK54" i="7"/>
  <c r="BL54" i="7"/>
  <c r="BM54" i="7"/>
  <c r="BN54" i="7"/>
  <c r="BO54" i="7"/>
  <c r="BP54" i="7"/>
  <c r="BQ54" i="7"/>
  <c r="BR54" i="7"/>
  <c r="BS54" i="7"/>
  <c r="BT54" i="7"/>
  <c r="BU54" i="7"/>
  <c r="BV54" i="7"/>
  <c r="BW54" i="7"/>
  <c r="BX54" i="7"/>
  <c r="BY54" i="7"/>
  <c r="BZ54" i="7"/>
  <c r="CA54" i="7"/>
  <c r="CB54" i="7"/>
  <c r="CC54" i="7"/>
  <c r="CD54" i="7"/>
  <c r="CE54" i="7"/>
  <c r="CF54" i="7"/>
  <c r="CG54" i="7"/>
  <c r="CH54" i="7"/>
  <c r="CI54" i="7"/>
  <c r="CJ54" i="7"/>
  <c r="CK54" i="7"/>
  <c r="CL54" i="7"/>
  <c r="CM54" i="7"/>
  <c r="CN54" i="7"/>
  <c r="CO54" i="7"/>
  <c r="AB55" i="7"/>
  <c r="AD55" i="7"/>
  <c r="AE55" i="7"/>
  <c r="AF55" i="7"/>
  <c r="AG55" i="7"/>
  <c r="AH55" i="7"/>
  <c r="AI55" i="7"/>
  <c r="AJ55" i="7"/>
  <c r="AK55" i="7"/>
  <c r="AL55" i="7"/>
  <c r="AM55" i="7"/>
  <c r="AN55" i="7"/>
  <c r="AO55" i="7"/>
  <c r="AP55" i="7"/>
  <c r="AQ55" i="7"/>
  <c r="AR55" i="7"/>
  <c r="AS55" i="7"/>
  <c r="AT55" i="7"/>
  <c r="AU55" i="7"/>
  <c r="AV55" i="7"/>
  <c r="AW55" i="7"/>
  <c r="AX55" i="7"/>
  <c r="AY55" i="7"/>
  <c r="AZ55" i="7"/>
  <c r="BA55" i="7"/>
  <c r="BB55" i="7"/>
  <c r="BC55" i="7"/>
  <c r="BD55" i="7"/>
  <c r="BE55" i="7"/>
  <c r="BF55" i="7"/>
  <c r="BG55" i="7"/>
  <c r="BH55" i="7"/>
  <c r="BI55" i="7"/>
  <c r="BJ55" i="7"/>
  <c r="BK55" i="7"/>
  <c r="BL55" i="7"/>
  <c r="BM55" i="7"/>
  <c r="BN55" i="7"/>
  <c r="BO55" i="7"/>
  <c r="BP55" i="7"/>
  <c r="BQ55" i="7"/>
  <c r="BR55" i="7"/>
  <c r="BS55" i="7"/>
  <c r="BT55" i="7"/>
  <c r="BU55" i="7"/>
  <c r="BV55" i="7"/>
  <c r="BW55" i="7"/>
  <c r="BX55" i="7"/>
  <c r="BY55" i="7"/>
  <c r="BZ55" i="7"/>
  <c r="CA55" i="7"/>
  <c r="CB55" i="7"/>
  <c r="CC55" i="7"/>
  <c r="CD55" i="7"/>
  <c r="CE55" i="7"/>
  <c r="CF55" i="7"/>
  <c r="CG55" i="7"/>
  <c r="CH55" i="7"/>
  <c r="CI55" i="7"/>
  <c r="CJ55" i="7"/>
  <c r="CK55" i="7"/>
  <c r="CL55" i="7"/>
  <c r="CM55" i="7"/>
  <c r="CN55" i="7"/>
  <c r="CO55" i="7"/>
  <c r="AB56" i="7"/>
  <c r="AD56" i="7"/>
  <c r="AE56" i="7"/>
  <c r="AF56" i="7"/>
  <c r="AG56" i="7"/>
  <c r="AH56" i="7"/>
  <c r="AI56" i="7"/>
  <c r="AJ56" i="7"/>
  <c r="AK56" i="7"/>
  <c r="AL56" i="7"/>
  <c r="AM56" i="7"/>
  <c r="AN56" i="7"/>
  <c r="AO56" i="7"/>
  <c r="AP56" i="7"/>
  <c r="AQ56" i="7"/>
  <c r="AR56" i="7"/>
  <c r="AS56" i="7"/>
  <c r="AT56" i="7"/>
  <c r="AU56" i="7"/>
  <c r="AV56" i="7"/>
  <c r="AW56" i="7"/>
  <c r="AX56" i="7"/>
  <c r="AY56" i="7"/>
  <c r="AZ56" i="7"/>
  <c r="BA56" i="7"/>
  <c r="BB56" i="7"/>
  <c r="BC56" i="7"/>
  <c r="BD56" i="7"/>
  <c r="BE56" i="7"/>
  <c r="BF56" i="7"/>
  <c r="BG56" i="7"/>
  <c r="BH56" i="7"/>
  <c r="BI56" i="7"/>
  <c r="BJ56" i="7"/>
  <c r="BK56" i="7"/>
  <c r="BL56" i="7"/>
  <c r="BM56" i="7"/>
  <c r="BN56" i="7"/>
  <c r="BO56" i="7"/>
  <c r="BP56" i="7"/>
  <c r="BQ56" i="7"/>
  <c r="BR56" i="7"/>
  <c r="BS56" i="7"/>
  <c r="BT56" i="7"/>
  <c r="BU56" i="7"/>
  <c r="BV56" i="7"/>
  <c r="BW56" i="7"/>
  <c r="BX56" i="7"/>
  <c r="BY56" i="7"/>
  <c r="BZ56" i="7"/>
  <c r="CA56" i="7"/>
  <c r="CB56" i="7"/>
  <c r="CC56" i="7"/>
  <c r="CD56" i="7"/>
  <c r="CE56" i="7"/>
  <c r="CF56" i="7"/>
  <c r="CG56" i="7"/>
  <c r="CH56" i="7"/>
  <c r="CI56" i="7"/>
  <c r="CJ56" i="7"/>
  <c r="CK56" i="7"/>
  <c r="CL56" i="7"/>
  <c r="CM56" i="7"/>
  <c r="CN56" i="7"/>
  <c r="CO56" i="7"/>
  <c r="AB58" i="7"/>
  <c r="AB59" i="7"/>
  <c r="AD59" i="7"/>
  <c r="AE59" i="7"/>
  <c r="AF59" i="7"/>
  <c r="AG59" i="7"/>
  <c r="AH59" i="7"/>
  <c r="AI59" i="7"/>
  <c r="AJ59" i="7"/>
  <c r="AK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AX59" i="7"/>
  <c r="AY59" i="7"/>
  <c r="AZ59" i="7"/>
  <c r="BA59" i="7"/>
  <c r="BB59" i="7"/>
  <c r="BC59" i="7"/>
  <c r="BD59" i="7"/>
  <c r="BE59" i="7"/>
  <c r="BF59" i="7"/>
  <c r="BG59" i="7"/>
  <c r="BH59" i="7"/>
  <c r="AB60" i="7"/>
  <c r="AD60" i="7"/>
  <c r="AE60" i="7"/>
  <c r="AF60" i="7"/>
  <c r="AG60" i="7"/>
  <c r="AH60" i="7"/>
  <c r="AI60" i="7"/>
  <c r="AJ60" i="7"/>
  <c r="AK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AX60" i="7"/>
  <c r="AY60" i="7"/>
  <c r="AZ60" i="7"/>
  <c r="BA60" i="7"/>
  <c r="BB60" i="7"/>
  <c r="BC60" i="7"/>
  <c r="BD60" i="7"/>
  <c r="BE60" i="7"/>
  <c r="BF60" i="7"/>
  <c r="BG60" i="7"/>
  <c r="BH60" i="7"/>
  <c r="BI60" i="7"/>
  <c r="BJ60" i="7"/>
  <c r="BK60" i="7"/>
  <c r="BL60" i="7"/>
  <c r="BM60" i="7"/>
  <c r="BN60" i="7"/>
  <c r="BO60" i="7"/>
  <c r="BP60" i="7"/>
  <c r="BQ60" i="7"/>
  <c r="BR60" i="7"/>
  <c r="BS60" i="7"/>
  <c r="BT60" i="7"/>
  <c r="BU60" i="7"/>
  <c r="BV60" i="7"/>
  <c r="BW60" i="7"/>
  <c r="BX60" i="7"/>
  <c r="CC60" i="7"/>
  <c r="CD60" i="7"/>
  <c r="CE60" i="7"/>
  <c r="CF60" i="7"/>
  <c r="CG60" i="7"/>
  <c r="CH60" i="7"/>
  <c r="CI60" i="7"/>
  <c r="CJ60" i="7"/>
  <c r="CK60" i="7"/>
  <c r="CL60" i="7"/>
  <c r="CM60" i="7"/>
  <c r="CN60" i="7"/>
  <c r="CO60" i="7"/>
  <c r="AB61" i="7"/>
  <c r="AB63" i="7"/>
  <c r="AB64" i="7"/>
  <c r="AD64" i="7"/>
  <c r="AE64" i="7"/>
  <c r="AF64" i="7"/>
  <c r="AG64" i="7"/>
  <c r="AH64" i="7"/>
  <c r="AI64" i="7"/>
  <c r="AJ64" i="7"/>
  <c r="AK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AX64" i="7"/>
  <c r="AY64" i="7"/>
  <c r="AZ64" i="7"/>
  <c r="BA64" i="7"/>
  <c r="BB64" i="7"/>
  <c r="BC64" i="7"/>
  <c r="BD64" i="7"/>
  <c r="BE64" i="7"/>
  <c r="BF64" i="7"/>
  <c r="BG64" i="7"/>
  <c r="BH64" i="7"/>
  <c r="BI64" i="7"/>
  <c r="BJ64" i="7"/>
  <c r="BK64" i="7"/>
  <c r="BL64" i="7"/>
  <c r="BM64" i="7"/>
  <c r="BN64" i="7"/>
  <c r="BO64" i="7"/>
  <c r="BP64" i="7"/>
  <c r="BQ64" i="7"/>
  <c r="BR64" i="7"/>
  <c r="BS64" i="7"/>
  <c r="BT64" i="7"/>
  <c r="BU64" i="7"/>
  <c r="BV64" i="7"/>
  <c r="BW64" i="7"/>
  <c r="BX64" i="7"/>
  <c r="BY64" i="7"/>
  <c r="BZ64" i="7"/>
  <c r="CA64" i="7"/>
  <c r="CB64" i="7"/>
  <c r="CC64" i="7"/>
  <c r="CD64" i="7"/>
  <c r="CE64" i="7"/>
  <c r="CF64" i="7"/>
  <c r="CG64" i="7"/>
  <c r="CH64" i="7"/>
  <c r="CI64" i="7"/>
  <c r="CJ64" i="7"/>
  <c r="CK64" i="7"/>
  <c r="CL64" i="7"/>
  <c r="CM64" i="7"/>
  <c r="CN64" i="7"/>
  <c r="CO64" i="7"/>
  <c r="AB65" i="7"/>
  <c r="AF65" i="7"/>
  <c r="AG65" i="7"/>
  <c r="AH65" i="7"/>
  <c r="AI65" i="7"/>
  <c r="AJ65" i="7"/>
  <c r="AK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AX65" i="7"/>
  <c r="AY65" i="7"/>
  <c r="AZ65" i="7"/>
  <c r="BA65" i="7"/>
  <c r="BB65" i="7"/>
  <c r="BC65" i="7"/>
  <c r="BD65" i="7"/>
  <c r="BE65" i="7"/>
  <c r="BF65" i="7"/>
  <c r="BG65" i="7"/>
  <c r="BH65" i="7"/>
  <c r="BI65" i="7"/>
  <c r="BJ65" i="7"/>
  <c r="BK65" i="7"/>
  <c r="BL65" i="7"/>
  <c r="BM65" i="7"/>
  <c r="BN65" i="7"/>
  <c r="BO65" i="7"/>
  <c r="BP65" i="7"/>
  <c r="BQ65" i="7"/>
  <c r="BR65" i="7"/>
  <c r="BS65" i="7"/>
  <c r="BT65" i="7"/>
  <c r="BU65" i="7"/>
  <c r="BV65" i="7"/>
  <c r="BW65" i="7"/>
  <c r="BX65" i="7"/>
  <c r="BY65" i="7"/>
  <c r="BZ65" i="7"/>
  <c r="CA65" i="7"/>
  <c r="CB65" i="7"/>
  <c r="CC65" i="7"/>
  <c r="CD65" i="7"/>
  <c r="CE65" i="7"/>
  <c r="CF65" i="7"/>
  <c r="CG65" i="7"/>
  <c r="CH65" i="7"/>
  <c r="CI65" i="7"/>
  <c r="CJ65" i="7"/>
  <c r="CK65" i="7"/>
  <c r="CL65" i="7"/>
  <c r="CM65" i="7"/>
  <c r="CN65" i="7"/>
  <c r="CO65" i="7"/>
  <c r="AB67" i="7"/>
  <c r="AB68" i="7"/>
  <c r="AD68" i="7"/>
  <c r="AE68" i="7"/>
  <c r="AF68" i="7"/>
  <c r="AG68" i="7"/>
  <c r="AH68" i="7"/>
  <c r="AI68" i="7"/>
  <c r="AJ68" i="7"/>
  <c r="AK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AX68" i="7"/>
  <c r="AY68" i="7"/>
  <c r="AZ68" i="7"/>
  <c r="BA68" i="7"/>
  <c r="BB68" i="7"/>
  <c r="BC68" i="7"/>
  <c r="BD68" i="7"/>
  <c r="BE68" i="7"/>
  <c r="BF68" i="7"/>
  <c r="BG68" i="7"/>
  <c r="BH68" i="7"/>
  <c r="BI68" i="7"/>
  <c r="BJ68" i="7"/>
  <c r="BK68" i="7"/>
  <c r="BL68" i="7"/>
  <c r="BM68" i="7"/>
  <c r="BN68" i="7"/>
  <c r="BO68" i="7"/>
  <c r="BP68" i="7"/>
  <c r="BQ68" i="7"/>
  <c r="BR68" i="7"/>
  <c r="BS68" i="7"/>
  <c r="BT68" i="7"/>
  <c r="BU68" i="7"/>
  <c r="BV68" i="7"/>
  <c r="BW68" i="7"/>
  <c r="BX68" i="7"/>
  <c r="BY68" i="7"/>
  <c r="BZ68" i="7"/>
  <c r="CA68" i="7"/>
  <c r="CB68" i="7"/>
  <c r="CC68" i="7"/>
  <c r="CD68" i="7"/>
  <c r="CE68" i="7"/>
  <c r="CF68" i="7"/>
  <c r="CG68" i="7"/>
  <c r="CH68" i="7"/>
  <c r="CI68" i="7"/>
  <c r="CJ68" i="7"/>
  <c r="CK68" i="7"/>
  <c r="CL68" i="7"/>
  <c r="CM68" i="7"/>
  <c r="CN68" i="7"/>
  <c r="CO68" i="7"/>
  <c r="AB69" i="7"/>
  <c r="AD69" i="7"/>
  <c r="AE69" i="7"/>
  <c r="AF69" i="7"/>
  <c r="AG69" i="7"/>
  <c r="AH69" i="7"/>
  <c r="AI69" i="7"/>
  <c r="AJ69" i="7"/>
  <c r="AK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AX69" i="7"/>
  <c r="AY69" i="7"/>
  <c r="AZ69" i="7"/>
  <c r="BA69" i="7"/>
  <c r="BB69" i="7"/>
  <c r="BC69" i="7"/>
  <c r="BD69" i="7"/>
  <c r="BE69" i="7"/>
  <c r="BF69" i="7"/>
  <c r="BG69" i="7"/>
  <c r="BH69" i="7"/>
  <c r="BI69" i="7"/>
  <c r="BJ69" i="7"/>
  <c r="BK69" i="7"/>
  <c r="BL69" i="7"/>
  <c r="BM69" i="7"/>
  <c r="BN69" i="7"/>
  <c r="BO69" i="7"/>
  <c r="BP69" i="7"/>
  <c r="BQ69" i="7"/>
  <c r="BR69" i="7"/>
  <c r="BS69" i="7"/>
  <c r="BT69" i="7"/>
  <c r="BU69" i="7"/>
  <c r="BV69" i="7"/>
  <c r="BW69" i="7"/>
  <c r="BX69" i="7"/>
  <c r="BY69" i="7"/>
  <c r="BZ69" i="7"/>
  <c r="CA69" i="7"/>
  <c r="CD69" i="7"/>
  <c r="CE69" i="7"/>
  <c r="CF69" i="7"/>
  <c r="CG69" i="7"/>
  <c r="CH69" i="7"/>
  <c r="CI69" i="7"/>
  <c r="CJ69" i="7"/>
  <c r="CK69" i="7"/>
  <c r="AB71" i="7"/>
  <c r="AB72" i="7"/>
  <c r="AD72" i="7"/>
  <c r="AE72" i="7"/>
  <c r="AF72" i="7"/>
  <c r="AG72" i="7"/>
  <c r="AH72" i="7"/>
  <c r="AI72" i="7"/>
  <c r="AJ72" i="7"/>
  <c r="AK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AX72" i="7"/>
  <c r="AY72" i="7"/>
  <c r="AZ72" i="7"/>
  <c r="AB73" i="7"/>
  <c r="AD73" i="7"/>
  <c r="AE73" i="7"/>
  <c r="AF73" i="7"/>
  <c r="AG73" i="7"/>
  <c r="AH73" i="7"/>
  <c r="AI73" i="7"/>
  <c r="AJ73" i="7"/>
  <c r="AK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AX73" i="7"/>
  <c r="AY73" i="7"/>
  <c r="AZ73" i="7"/>
  <c r="BA73" i="7"/>
  <c r="BB73" i="7"/>
  <c r="BC73" i="7"/>
  <c r="BD73" i="7"/>
  <c r="BE73" i="7"/>
  <c r="BF73" i="7"/>
  <c r="BG73" i="7"/>
  <c r="BH73" i="7"/>
  <c r="BI73" i="7"/>
  <c r="BJ73" i="7"/>
  <c r="BK73" i="7"/>
  <c r="BL73" i="7"/>
  <c r="BM73" i="7"/>
  <c r="BN73" i="7"/>
  <c r="BO73" i="7"/>
  <c r="BP73" i="7"/>
  <c r="BQ73" i="7"/>
  <c r="BR73" i="7"/>
  <c r="BS73" i="7"/>
  <c r="BT73" i="7"/>
  <c r="BU73" i="7"/>
  <c r="BV73" i="7"/>
  <c r="BW73" i="7"/>
  <c r="BX73" i="7"/>
  <c r="BY73" i="7"/>
  <c r="BZ73" i="7"/>
  <c r="CA73" i="7"/>
  <c r="CB73" i="7"/>
  <c r="CC73" i="7"/>
  <c r="CD73" i="7"/>
  <c r="CE73" i="7"/>
  <c r="CF73" i="7"/>
  <c r="CG73" i="7"/>
  <c r="CH73" i="7"/>
  <c r="CI73" i="7"/>
  <c r="CJ73" i="7"/>
  <c r="CK73" i="7"/>
  <c r="CL73" i="7"/>
  <c r="CM73" i="7"/>
  <c r="CN73" i="7"/>
  <c r="CO73" i="7"/>
  <c r="AB74" i="7"/>
  <c r="AD74" i="7"/>
  <c r="AE74" i="7"/>
  <c r="AF74" i="7"/>
  <c r="AG74" i="7"/>
  <c r="AH74" i="7"/>
  <c r="AI74" i="7"/>
  <c r="AJ74" i="7"/>
  <c r="AK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AX74" i="7"/>
  <c r="AY74" i="7"/>
  <c r="AZ74" i="7"/>
  <c r="BA74" i="7"/>
  <c r="BB74" i="7"/>
  <c r="BC74" i="7"/>
  <c r="BD74" i="7"/>
  <c r="BE74" i="7"/>
  <c r="BF74" i="7"/>
  <c r="BG74" i="7"/>
  <c r="BH74" i="7"/>
  <c r="BI74" i="7"/>
  <c r="BJ74" i="7"/>
  <c r="BK74" i="7"/>
  <c r="BL74" i="7"/>
  <c r="BM74" i="7"/>
  <c r="BN74" i="7"/>
  <c r="BO74" i="7"/>
  <c r="BP74" i="7"/>
  <c r="BQ74" i="7"/>
  <c r="BR74" i="7"/>
  <c r="BS74" i="7"/>
  <c r="BT74" i="7"/>
  <c r="BU74" i="7"/>
  <c r="BV74" i="7"/>
  <c r="BW74" i="7"/>
  <c r="BX74" i="7"/>
  <c r="BY74" i="7"/>
  <c r="BZ74" i="7"/>
  <c r="CA74" i="7"/>
  <c r="CB74" i="7"/>
  <c r="CC74" i="7"/>
  <c r="CD74" i="7"/>
  <c r="CE74" i="7"/>
  <c r="CF74" i="7"/>
  <c r="CG74" i="7"/>
  <c r="CH74" i="7"/>
  <c r="CI74" i="7"/>
  <c r="CJ74" i="7"/>
  <c r="CK74" i="7"/>
  <c r="CL74" i="7"/>
  <c r="CM74" i="7"/>
  <c r="CN74" i="7"/>
  <c r="CO74" i="7"/>
  <c r="AB75" i="7"/>
  <c r="AD75" i="7"/>
  <c r="AE75" i="7"/>
  <c r="AF75" i="7"/>
  <c r="AG75" i="7"/>
  <c r="AH75" i="7"/>
  <c r="AI75" i="7"/>
  <c r="AJ75" i="7"/>
  <c r="AK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AX75" i="7"/>
  <c r="AY75" i="7"/>
  <c r="AZ75" i="7"/>
  <c r="BA75" i="7"/>
  <c r="BB75" i="7"/>
  <c r="BC75" i="7"/>
  <c r="BD75" i="7"/>
  <c r="BE75" i="7"/>
  <c r="BF75" i="7"/>
  <c r="BG75" i="7"/>
  <c r="BH75" i="7"/>
  <c r="BI75" i="7"/>
  <c r="BJ75" i="7"/>
  <c r="BK75" i="7"/>
  <c r="BL75" i="7"/>
  <c r="BM75" i="7"/>
  <c r="BN75" i="7"/>
  <c r="BO75" i="7"/>
  <c r="BP75" i="7"/>
  <c r="BQ75" i="7"/>
  <c r="BR75" i="7"/>
  <c r="BS75" i="7"/>
  <c r="BT75" i="7"/>
  <c r="BU75" i="7"/>
  <c r="BV75" i="7"/>
  <c r="BW75" i="7"/>
  <c r="BX75" i="7"/>
  <c r="BY75" i="7"/>
  <c r="BZ75" i="7"/>
  <c r="CA75" i="7"/>
  <c r="CB75" i="7"/>
  <c r="CC75" i="7"/>
  <c r="CD75" i="7"/>
  <c r="CE75" i="7"/>
  <c r="CF75" i="7"/>
  <c r="CG75" i="7"/>
  <c r="CH75" i="7"/>
  <c r="CI75" i="7"/>
  <c r="CJ75" i="7"/>
  <c r="CK75" i="7"/>
  <c r="CL75" i="7"/>
  <c r="CM75" i="7"/>
  <c r="CN75" i="7"/>
  <c r="CO75" i="7"/>
  <c r="AB76" i="7"/>
  <c r="AD76" i="7"/>
  <c r="AE76" i="7"/>
  <c r="AF76" i="7"/>
  <c r="AG76" i="7"/>
  <c r="AH76" i="7"/>
  <c r="AI76" i="7"/>
  <c r="AJ76" i="7"/>
  <c r="AK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AX76" i="7"/>
  <c r="AY76" i="7"/>
  <c r="AZ76" i="7"/>
  <c r="BA76" i="7"/>
  <c r="BB76" i="7"/>
  <c r="BC76" i="7"/>
  <c r="BD76" i="7"/>
  <c r="BE76" i="7"/>
  <c r="BF76" i="7"/>
  <c r="BG76" i="7"/>
  <c r="BH76" i="7"/>
  <c r="BI76" i="7"/>
  <c r="BJ76" i="7"/>
  <c r="BK76" i="7"/>
  <c r="BL76" i="7"/>
  <c r="BM76" i="7"/>
  <c r="BN76" i="7"/>
  <c r="BO76" i="7"/>
  <c r="BP76" i="7"/>
  <c r="BQ76" i="7"/>
  <c r="BR76" i="7"/>
  <c r="BS76" i="7"/>
  <c r="BT76" i="7"/>
  <c r="BU76" i="7"/>
  <c r="BV76" i="7"/>
  <c r="BW76" i="7"/>
  <c r="BX76" i="7"/>
  <c r="BY76" i="7"/>
  <c r="BZ76" i="7"/>
  <c r="CA76" i="7"/>
  <c r="CB76" i="7"/>
  <c r="CC76" i="7"/>
  <c r="CD76" i="7"/>
  <c r="CE76" i="7"/>
  <c r="CF76" i="7"/>
  <c r="CG76" i="7"/>
  <c r="CH76" i="7"/>
  <c r="CI76" i="7"/>
  <c r="CJ76" i="7"/>
  <c r="CK76" i="7"/>
  <c r="CL76" i="7"/>
  <c r="CM76" i="7"/>
  <c r="CN76" i="7"/>
  <c r="CO76" i="7"/>
  <c r="AB77" i="7"/>
  <c r="AD77" i="7"/>
  <c r="AE77" i="7"/>
  <c r="AF77" i="7"/>
  <c r="AG77" i="7"/>
  <c r="AH77" i="7"/>
  <c r="AI77" i="7"/>
  <c r="AJ77" i="7"/>
  <c r="AK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AX77" i="7"/>
  <c r="AY77" i="7"/>
  <c r="AZ77" i="7"/>
  <c r="BA77" i="7"/>
  <c r="BB77" i="7"/>
  <c r="BC77" i="7"/>
  <c r="BD77" i="7"/>
  <c r="BE77" i="7"/>
  <c r="BF77" i="7"/>
  <c r="BG77" i="7"/>
  <c r="BH77" i="7"/>
  <c r="BI77" i="7"/>
  <c r="BJ77" i="7"/>
  <c r="BK77" i="7"/>
  <c r="BL77" i="7"/>
  <c r="BM77" i="7"/>
  <c r="BN77" i="7"/>
  <c r="BO77" i="7"/>
  <c r="BP77" i="7"/>
  <c r="BQ77" i="7"/>
  <c r="BR77" i="7"/>
  <c r="BS77" i="7"/>
  <c r="BT77" i="7"/>
  <c r="BU77" i="7"/>
  <c r="BV77" i="7"/>
  <c r="BW77" i="7"/>
  <c r="BX77" i="7"/>
  <c r="BY77" i="7"/>
  <c r="BZ77" i="7"/>
  <c r="CA77" i="7"/>
  <c r="CB77" i="7"/>
  <c r="CC77" i="7"/>
  <c r="CD77" i="7"/>
  <c r="CE77" i="7"/>
  <c r="CF77" i="7"/>
  <c r="CG77" i="7"/>
  <c r="CH77" i="7"/>
  <c r="CI77" i="7"/>
  <c r="CJ77" i="7"/>
  <c r="CK77" i="7"/>
  <c r="CL77" i="7"/>
  <c r="CM77" i="7"/>
  <c r="CN77" i="7"/>
  <c r="CO77" i="7"/>
  <c r="AB79" i="7"/>
  <c r="AB80" i="7"/>
  <c r="AF80" i="7"/>
  <c r="AG80" i="7"/>
  <c r="AH80" i="7"/>
  <c r="AI80" i="7"/>
  <c r="AJ80" i="7"/>
  <c r="AK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AX80" i="7"/>
  <c r="AY80" i="7"/>
  <c r="AZ80" i="7"/>
  <c r="BA80" i="7"/>
  <c r="BB80" i="7"/>
  <c r="BC80" i="7"/>
  <c r="BD80" i="7"/>
  <c r="BE80" i="7"/>
  <c r="BF80" i="7"/>
  <c r="BG80" i="7"/>
  <c r="BH80" i="7"/>
  <c r="BI80" i="7"/>
  <c r="BJ80" i="7"/>
  <c r="BK80" i="7"/>
  <c r="BL80" i="7"/>
  <c r="BM80" i="7"/>
  <c r="BN80" i="7"/>
  <c r="BO80" i="7"/>
  <c r="BP80" i="7"/>
  <c r="BQ80" i="7"/>
  <c r="BR80" i="7"/>
  <c r="BS80" i="7"/>
  <c r="BT80" i="7"/>
  <c r="BU80" i="7"/>
  <c r="BV80" i="7"/>
  <c r="BW80" i="7"/>
  <c r="BX80" i="7"/>
  <c r="BY80" i="7"/>
  <c r="BZ80" i="7"/>
  <c r="CA80" i="7"/>
  <c r="CB80" i="7"/>
  <c r="CC80" i="7"/>
  <c r="CD80" i="7"/>
  <c r="CE80" i="7"/>
  <c r="CF80" i="7"/>
  <c r="CG80" i="7"/>
  <c r="CH80" i="7"/>
  <c r="CI80" i="7"/>
  <c r="CJ80" i="7"/>
  <c r="CK80" i="7"/>
  <c r="CL80" i="7"/>
  <c r="CM80" i="7"/>
  <c r="CN80" i="7"/>
  <c r="CO80" i="7"/>
  <c r="AB81" i="7"/>
  <c r="AF81" i="7"/>
  <c r="AG81" i="7"/>
  <c r="AH81" i="7"/>
  <c r="AI81" i="7"/>
  <c r="AJ81" i="7"/>
  <c r="AK81" i="7"/>
  <c r="AL81" i="7"/>
  <c r="AM81" i="7"/>
  <c r="AN81" i="7"/>
  <c r="AO81" i="7"/>
  <c r="AP81" i="7"/>
  <c r="AQ81" i="7"/>
  <c r="AR81" i="7"/>
  <c r="AS81" i="7"/>
  <c r="AT81" i="7"/>
  <c r="AU81" i="7"/>
  <c r="AV81" i="7"/>
  <c r="AW81" i="7"/>
  <c r="AX81" i="7"/>
  <c r="AY81" i="7"/>
  <c r="AZ81" i="7"/>
  <c r="BA81" i="7"/>
  <c r="BB81" i="7"/>
  <c r="BC81" i="7"/>
  <c r="BD81" i="7"/>
  <c r="BE81" i="7"/>
  <c r="BF81" i="7"/>
  <c r="BG81" i="7"/>
  <c r="BH81" i="7"/>
  <c r="BI81" i="7"/>
  <c r="BJ81" i="7"/>
  <c r="BK81" i="7"/>
  <c r="BL81" i="7"/>
  <c r="BM81" i="7"/>
  <c r="BN81" i="7"/>
  <c r="BO81" i="7"/>
  <c r="BP81" i="7"/>
  <c r="BQ81" i="7"/>
  <c r="BR81" i="7"/>
  <c r="BS81" i="7"/>
  <c r="BT81" i="7"/>
  <c r="BU81" i="7"/>
  <c r="BV81" i="7"/>
  <c r="BW81" i="7"/>
  <c r="BX81" i="7"/>
  <c r="BY81" i="7"/>
  <c r="BZ81" i="7"/>
  <c r="CA81" i="7"/>
  <c r="CB81" i="7"/>
  <c r="CC81" i="7"/>
  <c r="CD81" i="7"/>
  <c r="CE81" i="7"/>
  <c r="CF81" i="7"/>
  <c r="CG81" i="7"/>
  <c r="CH81" i="7"/>
  <c r="CI81" i="7"/>
  <c r="CJ81" i="7"/>
  <c r="CK81" i="7"/>
  <c r="CL81" i="7"/>
  <c r="CM81" i="7"/>
  <c r="CN81" i="7"/>
  <c r="CO81" i="7"/>
  <c r="AB82" i="7"/>
  <c r="AF82" i="7"/>
  <c r="AG82" i="7"/>
  <c r="AH82" i="7"/>
  <c r="AI82" i="7"/>
  <c r="AJ82" i="7"/>
  <c r="AK82" i="7"/>
  <c r="AL82" i="7"/>
  <c r="AM82" i="7"/>
  <c r="AN82" i="7"/>
  <c r="AO82" i="7"/>
  <c r="AP82" i="7"/>
  <c r="AQ82" i="7"/>
  <c r="AR82" i="7"/>
  <c r="AS82" i="7"/>
  <c r="AT82" i="7"/>
  <c r="AU82" i="7"/>
  <c r="AV82" i="7"/>
  <c r="AW82" i="7"/>
  <c r="AX82" i="7"/>
  <c r="AY82" i="7"/>
  <c r="AZ82" i="7"/>
  <c r="BA82" i="7"/>
  <c r="BB82" i="7"/>
  <c r="BC82" i="7"/>
  <c r="BD82" i="7"/>
  <c r="BE82" i="7"/>
  <c r="BF82" i="7"/>
  <c r="BG82" i="7"/>
  <c r="BH82" i="7"/>
  <c r="BI82" i="7"/>
  <c r="BJ82" i="7"/>
  <c r="BK82" i="7"/>
  <c r="BL82" i="7"/>
  <c r="BM82" i="7"/>
  <c r="BN82" i="7"/>
  <c r="BO82" i="7"/>
  <c r="BP82" i="7"/>
  <c r="BQ82" i="7"/>
  <c r="BR82" i="7"/>
  <c r="BS82" i="7"/>
  <c r="BT82" i="7"/>
  <c r="BU82" i="7"/>
  <c r="BV82" i="7"/>
  <c r="BW82" i="7"/>
  <c r="BX82" i="7"/>
  <c r="BY82" i="7"/>
  <c r="BZ82" i="7"/>
  <c r="CA82" i="7"/>
  <c r="CB82" i="7"/>
  <c r="CC82" i="7"/>
  <c r="CD82" i="7"/>
  <c r="CE82" i="7"/>
  <c r="CF82" i="7"/>
  <c r="CG82" i="7"/>
  <c r="CH82" i="7"/>
  <c r="CI82" i="7"/>
  <c r="CJ82" i="7"/>
  <c r="CK82" i="7"/>
  <c r="CL82" i="7"/>
  <c r="CM82" i="7"/>
  <c r="CN82" i="7"/>
  <c r="CO82" i="7"/>
  <c r="AB84" i="7"/>
  <c r="AB85" i="7"/>
  <c r="AD85" i="7"/>
  <c r="AE85" i="7"/>
  <c r="AF85" i="7"/>
  <c r="AG85" i="7"/>
  <c r="AH85" i="7"/>
  <c r="AI85" i="7"/>
  <c r="AJ85" i="7"/>
  <c r="AK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AX85" i="7"/>
  <c r="AY85" i="7"/>
  <c r="AZ85" i="7"/>
  <c r="BA85" i="7"/>
  <c r="BB85" i="7"/>
  <c r="BC85" i="7"/>
  <c r="BD85" i="7"/>
  <c r="BE85" i="7"/>
  <c r="BF85" i="7"/>
  <c r="BG85" i="7"/>
  <c r="BH85" i="7"/>
  <c r="BI85" i="7"/>
  <c r="BJ85" i="7"/>
  <c r="BK85" i="7"/>
  <c r="BL85" i="7"/>
  <c r="BM85" i="7"/>
  <c r="BN85" i="7"/>
  <c r="BO85" i="7"/>
  <c r="BP85" i="7"/>
  <c r="BQ85" i="7"/>
  <c r="BR85" i="7"/>
  <c r="BS85" i="7"/>
  <c r="BT85" i="7"/>
  <c r="BU85" i="7"/>
  <c r="BV85" i="7"/>
  <c r="BW85" i="7"/>
  <c r="BX85" i="7"/>
  <c r="BY85" i="7"/>
  <c r="BZ85" i="7"/>
  <c r="CA85" i="7"/>
  <c r="CB85" i="7"/>
  <c r="CC85" i="7"/>
  <c r="CD85" i="7"/>
  <c r="CE85" i="7"/>
  <c r="CF85" i="7"/>
  <c r="CG85" i="7"/>
  <c r="CH85" i="7"/>
  <c r="CI85" i="7"/>
  <c r="CJ85" i="7"/>
  <c r="CK85" i="7"/>
  <c r="CL85" i="7"/>
  <c r="CM85" i="7"/>
  <c r="CN85" i="7"/>
  <c r="CO85" i="7"/>
  <c r="AB86" i="7"/>
  <c r="AD86" i="7"/>
  <c r="AE86" i="7"/>
  <c r="AF86" i="7"/>
  <c r="AG86" i="7"/>
  <c r="AH86" i="7"/>
  <c r="AI86" i="7"/>
  <c r="AJ86" i="7"/>
  <c r="AK86" i="7"/>
  <c r="AL86" i="7"/>
  <c r="AM86" i="7"/>
  <c r="AN86" i="7"/>
  <c r="AO86" i="7"/>
  <c r="AP86" i="7"/>
  <c r="AQ86" i="7"/>
  <c r="AR86" i="7"/>
  <c r="AS86" i="7"/>
  <c r="AT86" i="7"/>
  <c r="AU86" i="7"/>
  <c r="AV86" i="7"/>
  <c r="AW86" i="7"/>
  <c r="AX86" i="7"/>
  <c r="AY86" i="7"/>
  <c r="AZ86" i="7"/>
  <c r="BA86" i="7"/>
  <c r="BB86" i="7"/>
  <c r="BC86" i="7"/>
  <c r="BD86" i="7"/>
  <c r="BE86" i="7"/>
  <c r="BF86" i="7"/>
  <c r="BG86" i="7"/>
  <c r="BH86" i="7"/>
  <c r="BI86" i="7"/>
  <c r="BJ86" i="7"/>
  <c r="BK86" i="7"/>
  <c r="BL86" i="7"/>
  <c r="BM86" i="7"/>
  <c r="BN86" i="7"/>
  <c r="BO86" i="7"/>
  <c r="BP86" i="7"/>
  <c r="BQ86" i="7"/>
  <c r="BR86" i="7"/>
  <c r="BS86" i="7"/>
  <c r="BT86" i="7"/>
  <c r="BU86" i="7"/>
  <c r="A7" i="6"/>
  <c r="B7" i="6"/>
  <c r="C7" i="6"/>
  <c r="C64" i="6" s="1"/>
  <c r="D7" i="6"/>
  <c r="D64" i="6" s="1"/>
  <c r="E7" i="6"/>
  <c r="E64" i="6" s="1"/>
  <c r="F7" i="6"/>
  <c r="G7" i="6"/>
  <c r="B7" i="9" s="1"/>
  <c r="H7" i="6"/>
  <c r="C7" i="9" s="1"/>
  <c r="I7" i="6"/>
  <c r="D7" i="9" s="1"/>
  <c r="J7" i="6"/>
  <c r="E7" i="9" s="1"/>
  <c r="K7" i="6"/>
  <c r="F7" i="9" s="1"/>
  <c r="L7" i="6"/>
  <c r="G7" i="9" s="1"/>
  <c r="M7" i="6"/>
  <c r="H7" i="9" s="1"/>
  <c r="N7" i="6"/>
  <c r="I7" i="9" s="1"/>
  <c r="O7" i="6"/>
  <c r="J7" i="9" s="1"/>
  <c r="P7" i="6"/>
  <c r="K7" i="9" s="1"/>
  <c r="Q7" i="6"/>
  <c r="L7" i="9" s="1"/>
  <c r="R7" i="6"/>
  <c r="M7" i="9" s="1"/>
  <c r="S7" i="6"/>
  <c r="N7" i="9" s="1"/>
  <c r="T7" i="6"/>
  <c r="O7" i="9" s="1"/>
  <c r="U7" i="6"/>
  <c r="P7" i="9" s="1"/>
  <c r="V7" i="6"/>
  <c r="Q7" i="9" s="1"/>
  <c r="W7" i="6"/>
  <c r="R7" i="9" s="1"/>
  <c r="X7" i="6"/>
  <c r="S7" i="9" s="1"/>
  <c r="AC7" i="6"/>
  <c r="AC8" i="7" s="1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Y8" i="7" s="1"/>
  <c r="BZ7" i="6"/>
  <c r="BZ8" i="7" s="1"/>
  <c r="CA7" i="6"/>
  <c r="CA8" i="7" s="1"/>
  <c r="CB7" i="6"/>
  <c r="CB8" i="7" s="1"/>
  <c r="CC7" i="6"/>
  <c r="CC8" i="7" s="1"/>
  <c r="CD7" i="6"/>
  <c r="CD8" i="7" s="1"/>
  <c r="CE7" i="6"/>
  <c r="CE8" i="7" s="1"/>
  <c r="CF7" i="6"/>
  <c r="CF8" i="7" s="1"/>
  <c r="CG7" i="6"/>
  <c r="CG8" i="7" s="1"/>
  <c r="CH7" i="6"/>
  <c r="CH8" i="7" s="1"/>
  <c r="CI7" i="6"/>
  <c r="CI8" i="7" s="1"/>
  <c r="CJ7" i="6"/>
  <c r="CJ8" i="7" s="1"/>
  <c r="CK7" i="6"/>
  <c r="CK8" i="7" s="1"/>
  <c r="CL7" i="6"/>
  <c r="CL8" i="7" s="1"/>
  <c r="CM7" i="6"/>
  <c r="CM8" i="7" s="1"/>
  <c r="CN7" i="6"/>
  <c r="CN8" i="7" s="1"/>
  <c r="CO7" i="6"/>
  <c r="CO8" i="7" s="1"/>
  <c r="CQ8" i="7"/>
  <c r="CR8" i="7"/>
  <c r="CS8" i="7"/>
  <c r="CX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AB9" i="6"/>
  <c r="H11" i="6"/>
  <c r="I11" i="6"/>
  <c r="J11" i="6"/>
  <c r="K11" i="6"/>
  <c r="K13" i="6" s="1"/>
  <c r="L11" i="6"/>
  <c r="M11" i="6"/>
  <c r="N11" i="6"/>
  <c r="O11" i="6"/>
  <c r="P11" i="6"/>
  <c r="Q11" i="6"/>
  <c r="AB11" i="6"/>
  <c r="H12" i="6"/>
  <c r="I12" i="6"/>
  <c r="J12" i="6"/>
  <c r="K12" i="6"/>
  <c r="L12" i="6"/>
  <c r="M12" i="6"/>
  <c r="N12" i="6"/>
  <c r="N52" i="5" s="1"/>
  <c r="O12" i="6"/>
  <c r="P12" i="6"/>
  <c r="P52" i="5" s="1"/>
  <c r="Q12" i="6"/>
  <c r="Q52" i="5" s="1"/>
  <c r="AB12" i="6"/>
  <c r="AB13" i="6"/>
  <c r="H15" i="6"/>
  <c r="I15" i="6"/>
  <c r="J15" i="6"/>
  <c r="K15" i="6"/>
  <c r="L15" i="6"/>
  <c r="M15" i="6"/>
  <c r="N15" i="6"/>
  <c r="N56" i="5" s="1"/>
  <c r="O15" i="6"/>
  <c r="O56" i="5" s="1"/>
  <c r="P15" i="6"/>
  <c r="P56" i="5" s="1"/>
  <c r="Q15" i="6"/>
  <c r="AB15" i="6"/>
  <c r="H16" i="6"/>
  <c r="I16" i="6"/>
  <c r="J16" i="6"/>
  <c r="K16" i="6"/>
  <c r="L16" i="6"/>
  <c r="M16" i="6"/>
  <c r="N16" i="6"/>
  <c r="O16" i="6"/>
  <c r="O53" i="5" s="1"/>
  <c r="P16" i="6"/>
  <c r="P53" i="5" s="1"/>
  <c r="Q16" i="6"/>
  <c r="Q53" i="5" s="1"/>
  <c r="AB16" i="6"/>
  <c r="H17" i="6"/>
  <c r="I17" i="6"/>
  <c r="J17" i="6"/>
  <c r="K17" i="6"/>
  <c r="L17" i="6"/>
  <c r="M17" i="6"/>
  <c r="N17" i="6"/>
  <c r="N54" i="5" s="1"/>
  <c r="O17" i="6"/>
  <c r="O54" i="5" s="1"/>
  <c r="P17" i="6"/>
  <c r="P54" i="5" s="1"/>
  <c r="Q17" i="6"/>
  <c r="AB17" i="6"/>
  <c r="H19" i="6"/>
  <c r="I19" i="6"/>
  <c r="J19" i="6"/>
  <c r="K19" i="6"/>
  <c r="L19" i="6"/>
  <c r="M19" i="6"/>
  <c r="O19" i="6"/>
  <c r="P19" i="6"/>
  <c r="Q19" i="6"/>
  <c r="AB19" i="6"/>
  <c r="H20" i="6"/>
  <c r="H67" i="6" s="1"/>
  <c r="C101" i="9" s="1"/>
  <c r="I20" i="6"/>
  <c r="J20" i="6"/>
  <c r="J67" i="6" s="1"/>
  <c r="E101" i="9" s="1"/>
  <c r="K20" i="6"/>
  <c r="K67" i="6" s="1"/>
  <c r="F101" i="9" s="1"/>
  <c r="L20" i="6"/>
  <c r="L67" i="6" s="1"/>
  <c r="G101" i="9" s="1"/>
  <c r="M20" i="6"/>
  <c r="O20" i="6"/>
  <c r="P20" i="6"/>
  <c r="P67" i="6" s="1"/>
  <c r="Q20" i="6"/>
  <c r="Q67" i="6" s="1"/>
  <c r="L101" i="9" s="1"/>
  <c r="AB20" i="6"/>
  <c r="H21" i="6"/>
  <c r="I21" i="6"/>
  <c r="J21" i="6"/>
  <c r="K21" i="6"/>
  <c r="K60" i="7" s="1"/>
  <c r="L21" i="6"/>
  <c r="M21" i="6"/>
  <c r="M60" i="7" s="1"/>
  <c r="N21" i="6"/>
  <c r="N68" i="6" s="1"/>
  <c r="O21" i="6"/>
  <c r="P21" i="6"/>
  <c r="P68" i="6" s="1"/>
  <c r="Q21" i="6"/>
  <c r="AB21" i="6"/>
  <c r="H22" i="6"/>
  <c r="I22" i="6"/>
  <c r="J22" i="6"/>
  <c r="K22" i="6"/>
  <c r="L22" i="6"/>
  <c r="M22" i="6"/>
  <c r="N22" i="6"/>
  <c r="O22" i="6"/>
  <c r="P22" i="6"/>
  <c r="Q22" i="6"/>
  <c r="AB22" i="6"/>
  <c r="AB23" i="6"/>
  <c r="BZ31" i="6"/>
  <c r="H25" i="6"/>
  <c r="I25" i="6"/>
  <c r="J25" i="6"/>
  <c r="K25" i="6"/>
  <c r="L25" i="6"/>
  <c r="L30" i="7" s="1"/>
  <c r="M25" i="6"/>
  <c r="N25" i="6"/>
  <c r="N55" i="5" s="1"/>
  <c r="O25" i="6"/>
  <c r="O55" i="5" s="1"/>
  <c r="P25" i="6"/>
  <c r="P55" i="5" s="1"/>
  <c r="Q25" i="6"/>
  <c r="Q55" i="5" s="1"/>
  <c r="AB25" i="6"/>
  <c r="H26" i="6"/>
  <c r="I26" i="6"/>
  <c r="J26" i="6"/>
  <c r="K26" i="6"/>
  <c r="L26" i="6"/>
  <c r="M26" i="6"/>
  <c r="N26" i="6"/>
  <c r="O26" i="6"/>
  <c r="P26" i="6"/>
  <c r="Q26" i="6"/>
  <c r="AB26" i="6"/>
  <c r="H28" i="6"/>
  <c r="I28" i="6"/>
  <c r="J28" i="6"/>
  <c r="K28" i="6"/>
  <c r="L28" i="6"/>
  <c r="M28" i="6"/>
  <c r="N28" i="6"/>
  <c r="O28" i="6"/>
  <c r="P28" i="6"/>
  <c r="Q28" i="6"/>
  <c r="AB28" i="6"/>
  <c r="H29" i="6"/>
  <c r="I29" i="6"/>
  <c r="J29" i="6"/>
  <c r="K29" i="6"/>
  <c r="L29" i="6"/>
  <c r="M29" i="6"/>
  <c r="O29" i="6"/>
  <c r="P29" i="6"/>
  <c r="AB29" i="6"/>
  <c r="CB69" i="7"/>
  <c r="CL69" i="7"/>
  <c r="CM69" i="7"/>
  <c r="B31" i="6"/>
  <c r="C31" i="6"/>
  <c r="D31" i="6"/>
  <c r="E31" i="6"/>
  <c r="F31" i="6"/>
  <c r="G31" i="6"/>
  <c r="AB31" i="6"/>
  <c r="BY31" i="6"/>
  <c r="BY62" i="6" s="1"/>
  <c r="CA31" i="6"/>
  <c r="CA62" i="6" s="1"/>
  <c r="CD31" i="6"/>
  <c r="CF31" i="6"/>
  <c r="CH31" i="6"/>
  <c r="CJ31" i="6"/>
  <c r="CL31" i="6"/>
  <c r="CN31" i="6"/>
  <c r="AB33" i="6"/>
  <c r="H35" i="6"/>
  <c r="I35" i="6"/>
  <c r="J35" i="6"/>
  <c r="K35" i="6"/>
  <c r="L35" i="6"/>
  <c r="M35" i="6"/>
  <c r="N35" i="6"/>
  <c r="O35" i="6"/>
  <c r="P35" i="6"/>
  <c r="Q35" i="6"/>
  <c r="AB35" i="6"/>
  <c r="H36" i="6"/>
  <c r="I36" i="6"/>
  <c r="J36" i="6"/>
  <c r="K36" i="6"/>
  <c r="L36" i="6"/>
  <c r="M36" i="6"/>
  <c r="N36" i="6"/>
  <c r="N63" i="5" s="1"/>
  <c r="O36" i="6"/>
  <c r="P36" i="6"/>
  <c r="Q36" i="6"/>
  <c r="AB36" i="6"/>
  <c r="AB37" i="6"/>
  <c r="H39" i="6"/>
  <c r="I39" i="6"/>
  <c r="J39" i="6"/>
  <c r="K39" i="6"/>
  <c r="L39" i="6"/>
  <c r="M39" i="6"/>
  <c r="N39" i="6"/>
  <c r="N64" i="5" s="1"/>
  <c r="O39" i="6"/>
  <c r="O64" i="5" s="1"/>
  <c r="P39" i="6"/>
  <c r="P64" i="5" s="1"/>
  <c r="Q39" i="6"/>
  <c r="Q64" i="5" s="1"/>
  <c r="AB39" i="6"/>
  <c r="H40" i="6"/>
  <c r="I40" i="6"/>
  <c r="J40" i="6"/>
  <c r="K40" i="6"/>
  <c r="L40" i="6"/>
  <c r="M40" i="6"/>
  <c r="N40" i="6"/>
  <c r="O40" i="6"/>
  <c r="O65" i="5" s="1"/>
  <c r="P40" i="6"/>
  <c r="P65" i="5" s="1"/>
  <c r="Q40" i="6"/>
  <c r="Q65" i="5" s="1"/>
  <c r="AB40" i="6"/>
  <c r="H41" i="6"/>
  <c r="I41" i="6"/>
  <c r="J41" i="6"/>
  <c r="K41" i="6"/>
  <c r="L41" i="6"/>
  <c r="M41" i="6"/>
  <c r="N41" i="6"/>
  <c r="O41" i="6"/>
  <c r="P41" i="6"/>
  <c r="Q41" i="6"/>
  <c r="AB41" i="6"/>
  <c r="H43" i="6"/>
  <c r="I43" i="6"/>
  <c r="J43" i="6"/>
  <c r="K43" i="6"/>
  <c r="L43" i="6"/>
  <c r="M43" i="6"/>
  <c r="N43" i="6"/>
  <c r="O43" i="6"/>
  <c r="P43" i="6"/>
  <c r="Q43" i="6"/>
  <c r="AB43" i="6"/>
  <c r="H44" i="6"/>
  <c r="I44" i="6"/>
  <c r="J44" i="6"/>
  <c r="K44" i="6"/>
  <c r="L44" i="6"/>
  <c r="M44" i="6"/>
  <c r="N44" i="6"/>
  <c r="O44" i="6"/>
  <c r="P44" i="6"/>
  <c r="Q44" i="6"/>
  <c r="AB44" i="6"/>
  <c r="H45" i="6"/>
  <c r="I45" i="6"/>
  <c r="J45" i="6"/>
  <c r="K45" i="6"/>
  <c r="L45" i="6"/>
  <c r="M45" i="6"/>
  <c r="N45" i="6"/>
  <c r="O45" i="6"/>
  <c r="P45" i="6"/>
  <c r="Q45" i="6"/>
  <c r="AB45" i="6"/>
  <c r="H47" i="6"/>
  <c r="I47" i="6"/>
  <c r="J47" i="6"/>
  <c r="K47" i="6"/>
  <c r="L47" i="6"/>
  <c r="M47" i="6"/>
  <c r="N47" i="6"/>
  <c r="O47" i="6"/>
  <c r="P47" i="6"/>
  <c r="Q47" i="6"/>
  <c r="AB47" i="6"/>
  <c r="AB48" i="6"/>
  <c r="H50" i="6"/>
  <c r="I50" i="6"/>
  <c r="J50" i="6"/>
  <c r="K50" i="6"/>
  <c r="L50" i="6"/>
  <c r="M50" i="6"/>
  <c r="N50" i="6"/>
  <c r="O50" i="6"/>
  <c r="P50" i="6"/>
  <c r="Q50" i="6"/>
  <c r="AB50" i="6"/>
  <c r="H52" i="6"/>
  <c r="I52" i="6"/>
  <c r="J52" i="6"/>
  <c r="K52" i="6"/>
  <c r="L52" i="6"/>
  <c r="M52" i="6"/>
  <c r="N52" i="6"/>
  <c r="O52" i="6"/>
  <c r="P52" i="6"/>
  <c r="Q52" i="6"/>
  <c r="AB52" i="6"/>
  <c r="H53" i="6"/>
  <c r="I53" i="6"/>
  <c r="J53" i="6"/>
  <c r="K53" i="6"/>
  <c r="L53" i="6"/>
  <c r="M53" i="6"/>
  <c r="O53" i="6"/>
  <c r="P53" i="6"/>
  <c r="Q53" i="6"/>
  <c r="AB53" i="6"/>
  <c r="H54" i="6"/>
  <c r="I54" i="6"/>
  <c r="J54" i="6"/>
  <c r="K54" i="6"/>
  <c r="L54" i="6"/>
  <c r="M54" i="6"/>
  <c r="N54" i="6"/>
  <c r="O54" i="6"/>
  <c r="P54" i="6"/>
  <c r="Q54" i="6"/>
  <c r="AB54" i="6"/>
  <c r="H55" i="6"/>
  <c r="I55" i="6"/>
  <c r="J55" i="6"/>
  <c r="K55" i="6"/>
  <c r="L55" i="6"/>
  <c r="M55" i="6"/>
  <c r="N55" i="6"/>
  <c r="O55" i="6"/>
  <c r="P55" i="6"/>
  <c r="Q55" i="6"/>
  <c r="AB55" i="6"/>
  <c r="H56" i="6"/>
  <c r="I56" i="6"/>
  <c r="J56" i="6"/>
  <c r="K56" i="6"/>
  <c r="L56" i="6"/>
  <c r="M56" i="6"/>
  <c r="N56" i="6"/>
  <c r="O56" i="6"/>
  <c r="P56" i="6"/>
  <c r="Q56" i="6"/>
  <c r="AB56" i="6"/>
  <c r="H57" i="6"/>
  <c r="I57" i="6"/>
  <c r="J57" i="6"/>
  <c r="K57" i="6"/>
  <c r="L57" i="6"/>
  <c r="M57" i="6"/>
  <c r="O57" i="6"/>
  <c r="P57" i="6"/>
  <c r="Q57" i="6"/>
  <c r="AB57" i="6"/>
  <c r="N57" i="6"/>
  <c r="H58" i="6"/>
  <c r="I58" i="6"/>
  <c r="J58" i="6"/>
  <c r="K58" i="6"/>
  <c r="AB58" i="6"/>
  <c r="AB60" i="6"/>
  <c r="AB62" i="6"/>
  <c r="AC62" i="6"/>
  <c r="B64" i="6"/>
  <c r="F64" i="6"/>
  <c r="J64" i="6"/>
  <c r="N64" i="6"/>
  <c r="R64" i="6"/>
  <c r="X64" i="6"/>
  <c r="CN64" i="6"/>
  <c r="CS64" i="6"/>
  <c r="B67" i="6"/>
  <c r="C67" i="6"/>
  <c r="D67" i="6"/>
  <c r="E67" i="6"/>
  <c r="F67" i="6"/>
  <c r="G67" i="6"/>
  <c r="I67" i="6"/>
  <c r="D101" i="9" s="1"/>
  <c r="M67" i="6"/>
  <c r="H101" i="9" s="1"/>
  <c r="AC67" i="6"/>
  <c r="X101" i="9"/>
  <c r="Y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AL101" i="9"/>
  <c r="AM101" i="9"/>
  <c r="AN101" i="9"/>
  <c r="AO101" i="9"/>
  <c r="AP101" i="9"/>
  <c r="AQ101" i="9"/>
  <c r="BY67" i="6"/>
  <c r="BZ67" i="6"/>
  <c r="AS101" i="9" s="1"/>
  <c r="CA67" i="6"/>
  <c r="AT101" i="9" s="1"/>
  <c r="CB67" i="6"/>
  <c r="AU101" i="9" s="1"/>
  <c r="CC67" i="6"/>
  <c r="AV101" i="9" s="1"/>
  <c r="CD67" i="6"/>
  <c r="AW101" i="9" s="1"/>
  <c r="CE67" i="6"/>
  <c r="AX101" i="9" s="1"/>
  <c r="CF67" i="6"/>
  <c r="AY101" i="9" s="1"/>
  <c r="CG67" i="6"/>
  <c r="AZ101" i="9" s="1"/>
  <c r="CH67" i="6"/>
  <c r="BA101" i="9" s="1"/>
  <c r="CI67" i="6"/>
  <c r="BB101" i="9" s="1"/>
  <c r="CJ67" i="6"/>
  <c r="BC101" i="9" s="1"/>
  <c r="CK67" i="6"/>
  <c r="BD101" i="9" s="1"/>
  <c r="CL67" i="6"/>
  <c r="BE101" i="9" s="1"/>
  <c r="CM67" i="6"/>
  <c r="BF101" i="9" s="1"/>
  <c r="CN67" i="6"/>
  <c r="BG101" i="9" s="1"/>
  <c r="CO67" i="6"/>
  <c r="BH101" i="9" s="1"/>
  <c r="BI102" i="9" s="1"/>
  <c r="B68" i="6"/>
  <c r="C68" i="6"/>
  <c r="C69" i="6" s="1"/>
  <c r="D68" i="6"/>
  <c r="E68" i="6"/>
  <c r="F68" i="6"/>
  <c r="G68" i="6"/>
  <c r="G69" i="6" s="1"/>
  <c r="H68" i="6"/>
  <c r="J68" i="6"/>
  <c r="L68" i="6"/>
  <c r="AC68" i="6"/>
  <c r="BY68" i="6"/>
  <c r="BZ68" i="6"/>
  <c r="CA68" i="6"/>
  <c r="CB68" i="6"/>
  <c r="CC68" i="6"/>
  <c r="CD68" i="6"/>
  <c r="CE68" i="6"/>
  <c r="CF68" i="6"/>
  <c r="CG68" i="6"/>
  <c r="CH68" i="6"/>
  <c r="CI68" i="6"/>
  <c r="CJ68" i="6"/>
  <c r="CK68" i="6"/>
  <c r="CL68" i="6"/>
  <c r="CM68" i="6"/>
  <c r="CN68" i="6"/>
  <c r="CO68" i="6"/>
  <c r="AC75" i="6"/>
  <c r="AC77" i="6" s="1"/>
  <c r="B75" i="6"/>
  <c r="B77" i="6" s="1"/>
  <c r="C75" i="6"/>
  <c r="C77" i="6" s="1"/>
  <c r="D75" i="6"/>
  <c r="D77" i="6" s="1"/>
  <c r="E75" i="6"/>
  <c r="E77" i="6" s="1"/>
  <c r="F75" i="6"/>
  <c r="F77" i="6" s="1"/>
  <c r="G75" i="6"/>
  <c r="G77" i="6" s="1"/>
  <c r="BY75" i="6"/>
  <c r="BY77" i="6" s="1"/>
  <c r="BZ75" i="6"/>
  <c r="BZ77" i="6" s="1"/>
  <c r="CA75" i="6"/>
  <c r="CA77" i="6" s="1"/>
  <c r="CC75" i="6"/>
  <c r="CC77" i="6" s="1"/>
  <c r="CD75" i="6"/>
  <c r="CD77" i="6" s="1"/>
  <c r="CE75" i="6"/>
  <c r="CE77" i="6" s="1"/>
  <c r="CF75" i="6"/>
  <c r="CF77" i="6" s="1"/>
  <c r="CG75" i="6"/>
  <c r="CG77" i="6" s="1"/>
  <c r="CH75" i="6"/>
  <c r="CH77" i="6" s="1"/>
  <c r="CI75" i="6"/>
  <c r="CI77" i="6" s="1"/>
  <c r="CJ75" i="6"/>
  <c r="CJ77" i="6" s="1"/>
  <c r="CK75" i="6"/>
  <c r="CK77" i="6" s="1"/>
  <c r="CL75" i="6"/>
  <c r="CL77" i="6" s="1"/>
  <c r="CM75" i="6"/>
  <c r="CM77" i="6" s="1"/>
  <c r="CN75" i="6"/>
  <c r="CN77" i="6" s="1"/>
  <c r="CO75" i="6"/>
  <c r="CO77" i="6" s="1"/>
  <c r="H76" i="6"/>
  <c r="J76" i="6"/>
  <c r="K76" i="6"/>
  <c r="L76" i="6"/>
  <c r="N76" i="6"/>
  <c r="O76" i="6"/>
  <c r="P76" i="6"/>
  <c r="Q76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S79" i="6"/>
  <c r="T79" i="6"/>
  <c r="U79" i="6"/>
  <c r="V79" i="6"/>
  <c r="W79" i="6"/>
  <c r="X79" i="6"/>
  <c r="M80" i="6"/>
  <c r="H103" i="9" s="1"/>
  <c r="AC80" i="6"/>
  <c r="BY80" i="6"/>
  <c r="BZ80" i="6"/>
  <c r="CA80" i="6"/>
  <c r="CB80" i="6"/>
  <c r="CC80" i="6"/>
  <c r="CD80" i="6"/>
  <c r="CE80" i="6"/>
  <c r="CF80" i="6"/>
  <c r="CG80" i="6"/>
  <c r="CH80" i="6"/>
  <c r="CI80" i="6"/>
  <c r="CJ80" i="6"/>
  <c r="CK80" i="6"/>
  <c r="CL80" i="6"/>
  <c r="CM80" i="6"/>
  <c r="CN80" i="6"/>
  <c r="CO80" i="6"/>
  <c r="B84" i="6"/>
  <c r="C84" i="6"/>
  <c r="D84" i="6"/>
  <c r="E84" i="6"/>
  <c r="F84" i="6"/>
  <c r="G84" i="6"/>
  <c r="B85" i="6"/>
  <c r="C85" i="6"/>
  <c r="D85" i="6"/>
  <c r="E85" i="6"/>
  <c r="F85" i="6"/>
  <c r="G85" i="6"/>
  <c r="CD85" i="6"/>
  <c r="CE85" i="6"/>
  <c r="CF85" i="6"/>
  <c r="CH85" i="6"/>
  <c r="CI85" i="6"/>
  <c r="CJ85" i="6"/>
  <c r="CL85" i="6"/>
  <c r="S86" i="6"/>
  <c r="T86" i="6"/>
  <c r="U86" i="6"/>
  <c r="V86" i="6"/>
  <c r="W86" i="6"/>
  <c r="X86" i="6"/>
  <c r="BY86" i="6"/>
  <c r="BY92" i="6" s="1"/>
  <c r="BZ86" i="6"/>
  <c r="CA86" i="6"/>
  <c r="CB86" i="6"/>
  <c r="CC86" i="6"/>
  <c r="CD86" i="6"/>
  <c r="CD92" i="6" s="1"/>
  <c r="CE86" i="6"/>
  <c r="CF86" i="6"/>
  <c r="CF92" i="6" s="1"/>
  <c r="CG86" i="6"/>
  <c r="CG92" i="6" s="1"/>
  <c r="CH86" i="6"/>
  <c r="CI86" i="6"/>
  <c r="CJ86" i="6"/>
  <c r="CJ92" i="6" s="1"/>
  <c r="CK86" i="6"/>
  <c r="CK92" i="6" s="1"/>
  <c r="CL86" i="6"/>
  <c r="CL92" i="6" s="1"/>
  <c r="CM86" i="6"/>
  <c r="CN86" i="6"/>
  <c r="CO86" i="6"/>
  <c r="CO92" i="6" s="1"/>
  <c r="U87" i="6"/>
  <c r="V87" i="6"/>
  <c r="W87" i="6"/>
  <c r="X87" i="6"/>
  <c r="L88" i="6"/>
  <c r="M83" i="6" s="1"/>
  <c r="B83" i="6"/>
  <c r="C83" i="6"/>
  <c r="D83" i="6"/>
  <c r="E83" i="6"/>
  <c r="F83" i="6"/>
  <c r="G83" i="6"/>
  <c r="H83" i="6"/>
  <c r="I83" i="6"/>
  <c r="J83" i="6"/>
  <c r="K83" i="6"/>
  <c r="L83" i="6"/>
  <c r="BY83" i="6"/>
  <c r="BY88" i="6"/>
  <c r="BZ83" i="6" s="1"/>
  <c r="BZ88" i="6"/>
  <c r="CA83" i="6" s="1"/>
  <c r="CA88" i="6"/>
  <c r="CB83" i="6" s="1"/>
  <c r="N83" i="6" s="1"/>
  <c r="CB88" i="6"/>
  <c r="CC83" i="6" s="1"/>
  <c r="CC88" i="6"/>
  <c r="CD83" i="6" s="1"/>
  <c r="CD88" i="6"/>
  <c r="CE83" i="6" s="1"/>
  <c r="CE88" i="6"/>
  <c r="CF83" i="6" s="1"/>
  <c r="O83" i="6" s="1"/>
  <c r="CF88" i="6"/>
  <c r="CG83" i="6" s="1"/>
  <c r="CG88" i="6"/>
  <c r="CH83" i="6" s="1"/>
  <c r="CH88" i="6"/>
  <c r="CI83" i="6" s="1"/>
  <c r="CI88" i="6"/>
  <c r="CJ83" i="6" s="1"/>
  <c r="P83" i="6" s="1"/>
  <c r="CJ88" i="6"/>
  <c r="CK83" i="6" s="1"/>
  <c r="CK88" i="6"/>
  <c r="CL83" i="6" s="1"/>
  <c r="CL88" i="6"/>
  <c r="CM83" i="6" s="1"/>
  <c r="CM88" i="6"/>
  <c r="CN83" i="6" s="1"/>
  <c r="Q83" i="6" s="1"/>
  <c r="CN88" i="6"/>
  <c r="CO83" i="6" s="1"/>
  <c r="CO88" i="6"/>
  <c r="CP83" i="6" s="1"/>
  <c r="CP87" i="6" s="1"/>
  <c r="B92" i="6"/>
  <c r="C92" i="6"/>
  <c r="D92" i="6"/>
  <c r="E92" i="6"/>
  <c r="F92" i="6"/>
  <c r="G92" i="6"/>
  <c r="BZ92" i="6"/>
  <c r="CA92" i="6"/>
  <c r="CB92" i="6"/>
  <c r="CC92" i="6"/>
  <c r="CE92" i="6"/>
  <c r="CH92" i="6"/>
  <c r="CI92" i="6"/>
  <c r="CM92" i="6"/>
  <c r="CN92" i="6"/>
  <c r="H93" i="6"/>
  <c r="I93" i="6"/>
  <c r="J93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X93" i="6"/>
  <c r="S94" i="6"/>
  <c r="T94" i="6"/>
  <c r="U94" i="6"/>
  <c r="V94" i="6"/>
  <c r="W94" i="6"/>
  <c r="X94" i="6"/>
  <c r="B91" i="6"/>
  <c r="C91" i="6"/>
  <c r="D91" i="6"/>
  <c r="E91" i="6"/>
  <c r="F91" i="6"/>
  <c r="G91" i="6"/>
  <c r="H91" i="6"/>
  <c r="I91" i="6"/>
  <c r="J91" i="6"/>
  <c r="K91" i="6"/>
  <c r="L91" i="6"/>
  <c r="BY91" i="6"/>
  <c r="BY95" i="6"/>
  <c r="BZ91" i="6" s="1"/>
  <c r="BZ95" i="6"/>
  <c r="CA91" i="6" s="1"/>
  <c r="CA95" i="6"/>
  <c r="CB91" i="6" s="1"/>
  <c r="N91" i="6" s="1"/>
  <c r="CB95" i="6"/>
  <c r="CC91" i="6" s="1"/>
  <c r="CC95" i="6"/>
  <c r="CD91" i="6" s="1"/>
  <c r="CD95" i="6"/>
  <c r="CE91" i="6" s="1"/>
  <c r="CE95" i="6"/>
  <c r="CF91" i="6" s="1"/>
  <c r="O91" i="6" s="1"/>
  <c r="CF95" i="6"/>
  <c r="CG91" i="6" s="1"/>
  <c r="CG95" i="6"/>
  <c r="CH91" i="6" s="1"/>
  <c r="CH95" i="6"/>
  <c r="CI91" i="6" s="1"/>
  <c r="CI95" i="6"/>
  <c r="CJ91" i="6" s="1"/>
  <c r="P91" i="6" s="1"/>
  <c r="CJ95" i="6"/>
  <c r="CK91" i="6" s="1"/>
  <c r="CK95" i="6"/>
  <c r="CL91" i="6" s="1"/>
  <c r="CL95" i="6"/>
  <c r="CM91" i="6" s="1"/>
  <c r="CM95" i="6"/>
  <c r="CN91" i="6" s="1"/>
  <c r="Q91" i="6" s="1"/>
  <c r="CN95" i="6"/>
  <c r="CO91" i="6" s="1"/>
  <c r="CO95" i="6"/>
  <c r="CP91" i="6" s="1"/>
  <c r="CP94" i="6" s="1"/>
  <c r="H98" i="6"/>
  <c r="I98" i="6"/>
  <c r="U98" i="6"/>
  <c r="V98" i="6"/>
  <c r="W98" i="6"/>
  <c r="X98" i="6"/>
  <c r="H100" i="6"/>
  <c r="I100" i="6"/>
  <c r="BY100" i="6"/>
  <c r="BZ100" i="6"/>
  <c r="CA100" i="6"/>
  <c r="CB100" i="6"/>
  <c r="CC100" i="6"/>
  <c r="CD100" i="6"/>
  <c r="CE100" i="6"/>
  <c r="CE99" i="6" s="1"/>
  <c r="CF100" i="6"/>
  <c r="CF99" i="6" s="1"/>
  <c r="CG100" i="6"/>
  <c r="CH100" i="6"/>
  <c r="CI100" i="6"/>
  <c r="CJ100" i="6"/>
  <c r="CK100" i="6"/>
  <c r="CL100" i="6"/>
  <c r="CM100" i="6"/>
  <c r="CN100" i="6"/>
  <c r="CO100" i="6"/>
  <c r="H103" i="6"/>
  <c r="I103" i="6"/>
  <c r="U103" i="6"/>
  <c r="V103" i="6"/>
  <c r="W103" i="6"/>
  <c r="X103" i="6"/>
  <c r="H105" i="6"/>
  <c r="I105" i="6"/>
  <c r="H106" i="6"/>
  <c r="I106" i="6"/>
  <c r="I104" i="6" s="1"/>
  <c r="H107" i="6"/>
  <c r="I107" i="6"/>
  <c r="J105" i="6"/>
  <c r="K105" i="6"/>
  <c r="L105" i="6"/>
  <c r="M105" i="6"/>
  <c r="BY105" i="6"/>
  <c r="BY107" i="6"/>
  <c r="BZ105" i="6" s="1"/>
  <c r="BZ107" i="6"/>
  <c r="CA105" i="6" s="1"/>
  <c r="CA107" i="6"/>
  <c r="CB105" i="6" s="1"/>
  <c r="N105" i="6" s="1"/>
  <c r="CC107" i="6"/>
  <c r="CD105" i="6" s="1"/>
  <c r="CD107" i="6"/>
  <c r="CE105" i="6" s="1"/>
  <c r="CE107" i="6"/>
  <c r="CF105" i="6" s="1"/>
  <c r="O105" i="6" s="1"/>
  <c r="CF107" i="6"/>
  <c r="CG105" i="6" s="1"/>
  <c r="CG107" i="6"/>
  <c r="CH105" i="6" s="1"/>
  <c r="CH107" i="6"/>
  <c r="CI105" i="6" s="1"/>
  <c r="CI107" i="6"/>
  <c r="CJ105" i="6" s="1"/>
  <c r="P105" i="6" s="1"/>
  <c r="CJ107" i="6"/>
  <c r="CK105" i="6" s="1"/>
  <c r="CK107" i="6"/>
  <c r="CL105" i="6" s="1"/>
  <c r="CL107" i="6"/>
  <c r="CM105" i="6" s="1"/>
  <c r="CM107" i="6"/>
  <c r="CN105" i="6" s="1"/>
  <c r="Q105" i="6" s="1"/>
  <c r="CN107" i="6"/>
  <c r="CO105" i="6" s="1"/>
  <c r="CO107" i="6"/>
  <c r="CP105" i="6" s="1"/>
  <c r="CP106" i="6" s="1"/>
  <c r="H109" i="6"/>
  <c r="I109" i="6"/>
  <c r="BY109" i="6"/>
  <c r="BY98" i="6" s="1"/>
  <c r="BZ109" i="6"/>
  <c r="CA109" i="6"/>
  <c r="CB109" i="6"/>
  <c r="CC109" i="6"/>
  <c r="CF109" i="6"/>
  <c r="CF44" i="5" s="1"/>
  <c r="CG46" i="5" s="1"/>
  <c r="CG109" i="6"/>
  <c r="CH109" i="6"/>
  <c r="CI109" i="6"/>
  <c r="CJ109" i="6"/>
  <c r="CK109" i="6"/>
  <c r="CL109" i="6"/>
  <c r="CM109" i="6"/>
  <c r="CN109" i="6"/>
  <c r="A3" i="5"/>
  <c r="AB10" i="5"/>
  <c r="N11" i="5"/>
  <c r="O11" i="5"/>
  <c r="P11" i="5"/>
  <c r="Q11" i="5"/>
  <c r="AB11" i="5"/>
  <c r="N12" i="5"/>
  <c r="O12" i="5"/>
  <c r="P12" i="5"/>
  <c r="Q12" i="5"/>
  <c r="AB12" i="5"/>
  <c r="AB13" i="5"/>
  <c r="O14" i="5"/>
  <c r="P14" i="5"/>
  <c r="Q14" i="5"/>
  <c r="AB14" i="5"/>
  <c r="AB15" i="5"/>
  <c r="AB16" i="5"/>
  <c r="N17" i="5"/>
  <c r="O17" i="5"/>
  <c r="P17" i="5"/>
  <c r="Q17" i="5"/>
  <c r="AB17" i="5"/>
  <c r="O18" i="5"/>
  <c r="P18" i="5"/>
  <c r="Q18" i="5"/>
  <c r="AB18" i="5"/>
  <c r="N19" i="5"/>
  <c r="Q19" i="5"/>
  <c r="AB19" i="5"/>
  <c r="J30" i="7"/>
  <c r="O20" i="5"/>
  <c r="P20" i="5"/>
  <c r="AB20" i="5"/>
  <c r="AB21" i="5"/>
  <c r="AB22" i="5"/>
  <c r="J33" i="7"/>
  <c r="L33" i="7"/>
  <c r="N23" i="5"/>
  <c r="N33" i="7" s="1"/>
  <c r="O23" i="5"/>
  <c r="P23" i="5"/>
  <c r="Q23" i="5"/>
  <c r="AB23" i="5"/>
  <c r="K34" i="7"/>
  <c r="M34" i="7"/>
  <c r="N24" i="5"/>
  <c r="O24" i="5"/>
  <c r="P24" i="5"/>
  <c r="P34" i="7" s="1"/>
  <c r="Q24" i="5"/>
  <c r="AB24" i="5"/>
  <c r="AE82" i="7" s="1"/>
  <c r="J35" i="7"/>
  <c r="L35" i="7"/>
  <c r="N25" i="5"/>
  <c r="N35" i="7" s="1"/>
  <c r="O25" i="5"/>
  <c r="P25" i="5"/>
  <c r="Q25" i="5"/>
  <c r="AB25" i="5"/>
  <c r="AB26" i="5"/>
  <c r="AB27" i="5"/>
  <c r="N28" i="5"/>
  <c r="P28" i="5"/>
  <c r="Q28" i="5"/>
  <c r="AB28" i="5"/>
  <c r="N29" i="5"/>
  <c r="O29" i="5"/>
  <c r="P29" i="5"/>
  <c r="Q29" i="5"/>
  <c r="AB29" i="5"/>
  <c r="N30" i="5"/>
  <c r="O30" i="5"/>
  <c r="P30" i="5"/>
  <c r="Q30" i="5"/>
  <c r="AB30" i="5"/>
  <c r="O31" i="5"/>
  <c r="P31" i="5"/>
  <c r="AB31" i="5"/>
  <c r="AB32" i="5"/>
  <c r="AB33" i="5"/>
  <c r="N34" i="5"/>
  <c r="O34" i="5"/>
  <c r="P34" i="5"/>
  <c r="Q34" i="5"/>
  <c r="AB34" i="5"/>
  <c r="N35" i="5"/>
  <c r="O35" i="5"/>
  <c r="P35" i="5"/>
  <c r="Q35" i="5"/>
  <c r="R35" i="5"/>
  <c r="S35" i="5"/>
  <c r="T35" i="5"/>
  <c r="U35" i="5"/>
  <c r="V35" i="5"/>
  <c r="W35" i="5"/>
  <c r="X35" i="5"/>
  <c r="AB35" i="5"/>
  <c r="Q36" i="5"/>
  <c r="AB36" i="5"/>
  <c r="AB37" i="5"/>
  <c r="N38" i="5"/>
  <c r="O38" i="5"/>
  <c r="P38" i="5"/>
  <c r="Q38" i="5"/>
  <c r="AB38" i="5"/>
  <c r="AB39" i="5"/>
  <c r="N40" i="5"/>
  <c r="Q40" i="5"/>
  <c r="S40" i="5"/>
  <c r="T40" i="5"/>
  <c r="U40" i="5"/>
  <c r="V40" i="5"/>
  <c r="W40" i="5"/>
  <c r="X40" i="5"/>
  <c r="S49" i="9" s="1"/>
  <c r="AB40" i="5"/>
  <c r="AB41" i="5"/>
  <c r="N44" i="5"/>
  <c r="P44" i="5"/>
  <c r="Q44" i="5"/>
  <c r="BY46" i="5"/>
  <c r="CC46" i="5"/>
  <c r="CD46" i="5"/>
  <c r="CH46" i="5"/>
  <c r="CI46" i="5"/>
  <c r="CJ46" i="5"/>
  <c r="CK46" i="5"/>
  <c r="CL46" i="5"/>
  <c r="CO46" i="5"/>
  <c r="N48" i="5"/>
  <c r="O48" i="5"/>
  <c r="P48" i="5"/>
  <c r="Q48" i="5"/>
  <c r="R48" i="5"/>
  <c r="S48" i="5"/>
  <c r="T48" i="5"/>
  <c r="U48" i="5"/>
  <c r="V48" i="5"/>
  <c r="W48" i="5"/>
  <c r="X48" i="5"/>
  <c r="AC45" i="7"/>
  <c r="BY48" i="5"/>
  <c r="BZ48" i="5"/>
  <c r="CA48" i="5"/>
  <c r="CB48" i="5"/>
  <c r="CC48" i="5"/>
  <c r="CD48" i="5"/>
  <c r="CE48" i="5"/>
  <c r="CF48" i="5"/>
  <c r="CG48" i="5"/>
  <c r="CH48" i="5"/>
  <c r="CI48" i="5"/>
  <c r="CJ48" i="5"/>
  <c r="CK48" i="5"/>
  <c r="CL48" i="5"/>
  <c r="CM48" i="5"/>
  <c r="CN48" i="5"/>
  <c r="CO48" i="5"/>
  <c r="CS48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Y113" i="9"/>
  <c r="AC113" i="9"/>
  <c r="AG113" i="9"/>
  <c r="AK113" i="9"/>
  <c r="AO113" i="9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N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Q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Q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AA113" i="9"/>
  <c r="AE113" i="9"/>
  <c r="AI113" i="9"/>
  <c r="AM113" i="9"/>
  <c r="AQ113" i="9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O63" i="5"/>
  <c r="P63" i="5"/>
  <c r="Q63" i="5"/>
  <c r="AD115" i="9"/>
  <c r="AL115" i="9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Q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Z115" i="9"/>
  <c r="AH115" i="9"/>
  <c r="AP115" i="9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AC21" i="7"/>
  <c r="AC22" i="7"/>
  <c r="AG83" i="9" l="1"/>
  <c r="AG24" i="9"/>
  <c r="Y24" i="9"/>
  <c r="Z83" i="9"/>
  <c r="AF24" i="9"/>
  <c r="AF78" i="9"/>
  <c r="AF91" i="9"/>
  <c r="AL24" i="9"/>
  <c r="AL78" i="9"/>
  <c r="I99" i="6"/>
  <c r="AG137" i="9"/>
  <c r="Y137" i="9"/>
  <c r="AY20" i="9"/>
  <c r="AA20" i="9"/>
  <c r="AA91" i="9" s="1"/>
  <c r="J60" i="7"/>
  <c r="AK86" i="9"/>
  <c r="AC86" i="9"/>
  <c r="AQ84" i="9"/>
  <c r="AI84" i="9"/>
  <c r="AA84" i="9"/>
  <c r="AP86" i="9"/>
  <c r="AQ86" i="9"/>
  <c r="AI86" i="9"/>
  <c r="AA86" i="9"/>
  <c r="AN85" i="9"/>
  <c r="AF85" i="9"/>
  <c r="BF20" i="9"/>
  <c r="AH20" i="9"/>
  <c r="AV20" i="9"/>
  <c r="AV91" i="9" s="1"/>
  <c r="E69" i="6"/>
  <c r="AK137" i="9"/>
  <c r="AL138" i="9" s="1"/>
  <c r="AC137" i="9"/>
  <c r="AQ133" i="9"/>
  <c r="AQ79" i="9" s="1"/>
  <c r="AI133" i="9"/>
  <c r="AA133" i="9"/>
  <c r="AA79" i="9" s="1"/>
  <c r="AM20" i="9"/>
  <c r="B24" i="9"/>
  <c r="AI137" i="9"/>
  <c r="AI138" i="9" s="1"/>
  <c r="AA137" i="9"/>
  <c r="AN135" i="9"/>
  <c r="AF135" i="9"/>
  <c r="N34" i="7"/>
  <c r="L60" i="7"/>
  <c r="AM86" i="9"/>
  <c r="AE86" i="9"/>
  <c r="AR85" i="9"/>
  <c r="AJ85" i="9"/>
  <c r="AB85" i="9"/>
  <c r="AT20" i="9"/>
  <c r="AT24" i="9" s="1"/>
  <c r="BH20" i="9"/>
  <c r="BH91" i="9" s="1"/>
  <c r="AJ20" i="9"/>
  <c r="AJ78" i="9" s="1"/>
  <c r="AM83" i="9"/>
  <c r="AM24" i="9"/>
  <c r="AA83" i="9"/>
  <c r="AA24" i="9"/>
  <c r="AT91" i="9"/>
  <c r="AH24" i="9"/>
  <c r="AH83" i="9"/>
  <c r="AH91" i="9"/>
  <c r="AH78" i="9"/>
  <c r="AJ24" i="9"/>
  <c r="AJ91" i="9"/>
  <c r="AN78" i="9"/>
  <c r="AN24" i="9"/>
  <c r="AN91" i="9"/>
  <c r="AB91" i="9"/>
  <c r="AB24" i="9"/>
  <c r="AB78" i="9"/>
  <c r="AP78" i="9"/>
  <c r="AP83" i="9"/>
  <c r="AP24" i="9"/>
  <c r="AP91" i="9"/>
  <c r="AD91" i="9"/>
  <c r="AD24" i="9"/>
  <c r="AD78" i="9"/>
  <c r="AO83" i="9"/>
  <c r="AO24" i="9"/>
  <c r="AC83" i="9"/>
  <c r="AC24" i="9"/>
  <c r="BZ53" i="9"/>
  <c r="BH53" i="9"/>
  <c r="AV53" i="9"/>
  <c r="AJ53" i="9"/>
  <c r="AI83" i="9"/>
  <c r="CA15" i="9"/>
  <c r="BJ15" i="9"/>
  <c r="AW15" i="9"/>
  <c r="AK15" i="9"/>
  <c r="P23" i="6"/>
  <c r="K23" i="6"/>
  <c r="AN86" i="9"/>
  <c r="BZ15" i="9"/>
  <c r="BH15" i="9"/>
  <c r="AV15" i="9"/>
  <c r="AJ15" i="9"/>
  <c r="BJ67" i="9"/>
  <c r="BJ82" i="9" s="1"/>
  <c r="BJ96" i="9" s="1"/>
  <c r="BJ118" i="9" s="1"/>
  <c r="BJ126" i="9" s="1"/>
  <c r="BJ140" i="9" s="1"/>
  <c r="BJ90" i="9" s="1"/>
  <c r="AW67" i="9"/>
  <c r="AW82" i="9" s="1"/>
  <c r="AW96" i="9" s="1"/>
  <c r="AW118" i="9" s="1"/>
  <c r="AW126" i="9" s="1"/>
  <c r="AW140" i="9" s="1"/>
  <c r="AW90" i="9" s="1"/>
  <c r="AK67" i="9"/>
  <c r="AK82" i="9" s="1"/>
  <c r="AK96" i="9" s="1"/>
  <c r="AK118" i="9" s="1"/>
  <c r="AK126" i="9" s="1"/>
  <c r="AK140" i="9" s="1"/>
  <c r="AK90" i="9" s="1"/>
  <c r="H99" i="6"/>
  <c r="AI85" i="9"/>
  <c r="Z78" i="9"/>
  <c r="AQ83" i="9"/>
  <c r="AE83" i="9"/>
  <c r="BX15" i="9"/>
  <c r="AL91" i="9"/>
  <c r="Z24" i="9"/>
  <c r="AI79" i="9"/>
  <c r="AG86" i="9"/>
  <c r="CF64" i="6"/>
  <c r="AK83" i="9"/>
  <c r="AE133" i="9"/>
  <c r="X20" i="9"/>
  <c r="X24" i="9" s="1"/>
  <c r="CJ64" i="6"/>
  <c r="CB64" i="6"/>
  <c r="T64" i="6"/>
  <c r="P64" i="6"/>
  <c r="L64" i="6"/>
  <c r="H64" i="6"/>
  <c r="AP141" i="9"/>
  <c r="AH141" i="9"/>
  <c r="Z141" i="9"/>
  <c r="AP135" i="9"/>
  <c r="AL135" i="9"/>
  <c r="AH135" i="9"/>
  <c r="AD135" i="9"/>
  <c r="AD136" i="9" s="1"/>
  <c r="Z106" i="9"/>
  <c r="AO133" i="9"/>
  <c r="AK133" i="9"/>
  <c r="AG133" i="9"/>
  <c r="AG79" i="9" s="1"/>
  <c r="AC133" i="9"/>
  <c r="AC79" i="9" s="1"/>
  <c r="Y133" i="9"/>
  <c r="Q34" i="7"/>
  <c r="O34" i="7"/>
  <c r="CZ64" i="6"/>
  <c r="CZ8" i="7"/>
  <c r="O53" i="9"/>
  <c r="O67" i="9"/>
  <c r="O82" i="9" s="1"/>
  <c r="O96" i="9" s="1"/>
  <c r="O118" i="9" s="1"/>
  <c r="O126" i="9" s="1"/>
  <c r="O140" i="9" s="1"/>
  <c r="O90" i="9" s="1"/>
  <c r="O15" i="9"/>
  <c r="AM79" i="9"/>
  <c r="AE79" i="9"/>
  <c r="AO79" i="9"/>
  <c r="AK79" i="9"/>
  <c r="Y79" i="9"/>
  <c r="AQ91" i="9"/>
  <c r="AO91" i="9"/>
  <c r="AM91" i="9"/>
  <c r="AK91" i="9"/>
  <c r="AI91" i="9"/>
  <c r="AG91" i="9"/>
  <c r="AE91" i="9"/>
  <c r="AC91" i="9"/>
  <c r="Y91" i="9"/>
  <c r="AM85" i="9"/>
  <c r="AE85" i="9"/>
  <c r="AL83" i="9"/>
  <c r="AD83" i="9"/>
  <c r="BP67" i="9"/>
  <c r="BP82" i="9" s="1"/>
  <c r="BP96" i="9" s="1"/>
  <c r="BP118" i="9" s="1"/>
  <c r="BP126" i="9" s="1"/>
  <c r="BP140" i="9" s="1"/>
  <c r="BP90" i="9" s="1"/>
  <c r="Z135" i="9"/>
  <c r="AJ106" i="9"/>
  <c r="AP133" i="9"/>
  <c r="AP79" i="9" s="1"/>
  <c r="AN133" i="9"/>
  <c r="AN79" i="9" s="1"/>
  <c r="AL133" i="9"/>
  <c r="AL79" i="9" s="1"/>
  <c r="AJ133" i="9"/>
  <c r="AJ79" i="9" s="1"/>
  <c r="AH133" i="9"/>
  <c r="AH79" i="9" s="1"/>
  <c r="AF133" i="9"/>
  <c r="AF79" i="9" s="1"/>
  <c r="AD133" i="9"/>
  <c r="AD134" i="9" s="1"/>
  <c r="AB100" i="9"/>
  <c r="Z133" i="9"/>
  <c r="CL64" i="6"/>
  <c r="CH64" i="6"/>
  <c r="CD64" i="6"/>
  <c r="BZ64" i="6"/>
  <c r="V64" i="6"/>
  <c r="AL137" i="9"/>
  <c r="AM138" i="9" s="1"/>
  <c r="AJ137" i="9"/>
  <c r="AH137" i="9"/>
  <c r="AF137" i="9"/>
  <c r="AG138" i="9" s="1"/>
  <c r="AD137" i="9"/>
  <c r="AB137" i="9"/>
  <c r="CS61" i="7"/>
  <c r="CS24" i="7"/>
  <c r="AC69" i="6"/>
  <c r="I37" i="6"/>
  <c r="M13" i="6"/>
  <c r="I13" i="6"/>
  <c r="AQ135" i="9"/>
  <c r="AQ136" i="9" s="1"/>
  <c r="AO135" i="9"/>
  <c r="AO136" i="9" s="1"/>
  <c r="AN106" i="9"/>
  <c r="AK135" i="9"/>
  <c r="AK136" i="9" s="1"/>
  <c r="AI135" i="9"/>
  <c r="AI136" i="9" s="1"/>
  <c r="AG135" i="9"/>
  <c r="AG136" i="9" s="1"/>
  <c r="AF106" i="9"/>
  <c r="AD106" i="9"/>
  <c r="AB106" i="9"/>
  <c r="Y135" i="9"/>
  <c r="AN100" i="9"/>
  <c r="AH134" i="9"/>
  <c r="AD79" i="9"/>
  <c r="Z79" i="9"/>
  <c r="CO64" i="6"/>
  <c r="CM64" i="6"/>
  <c r="CK64" i="6"/>
  <c r="CI64" i="6"/>
  <c r="CG64" i="6"/>
  <c r="CE64" i="6"/>
  <c r="CC64" i="6"/>
  <c r="CA64" i="6"/>
  <c r="BY64" i="6"/>
  <c r="Z137" i="9"/>
  <c r="AM135" i="9"/>
  <c r="AM136" i="9" s="1"/>
  <c r="AE135" i="9"/>
  <c r="AC135" i="9"/>
  <c r="AC136" i="9" s="1"/>
  <c r="AA135" i="9"/>
  <c r="AA136" i="9" s="1"/>
  <c r="AB133" i="9"/>
  <c r="AB79" i="9" s="1"/>
  <c r="Z112" i="9"/>
  <c r="AB112" i="9"/>
  <c r="AF100" i="9"/>
  <c r="AN134" i="9"/>
  <c r="AB134" i="9"/>
  <c r="AL112" i="9"/>
  <c r="AJ112" i="9"/>
  <c r="AH112" i="9"/>
  <c r="AF112" i="9"/>
  <c r="AD112" i="9"/>
  <c r="AQ102" i="9"/>
  <c r="AO102" i="9"/>
  <c r="AM102" i="9"/>
  <c r="AK102" i="9"/>
  <c r="AI102" i="9"/>
  <c r="AG102" i="9"/>
  <c r="AE102" i="9"/>
  <c r="AC102" i="9"/>
  <c r="AA102" i="9"/>
  <c r="Y102" i="9"/>
  <c r="F69" i="6"/>
  <c r="G71" i="6" s="1"/>
  <c r="D69" i="6"/>
  <c r="B69" i="6"/>
  <c r="C71" i="6" s="1"/>
  <c r="G102" i="9"/>
  <c r="E102" i="9"/>
  <c r="AT135" i="9"/>
  <c r="AR106" i="9"/>
  <c r="AQ100" i="9"/>
  <c r="AO100" i="9"/>
  <c r="AM100" i="9"/>
  <c r="AK100" i="9"/>
  <c r="AI100" i="9"/>
  <c r="AG100" i="9"/>
  <c r="AE100" i="9"/>
  <c r="AC100" i="9"/>
  <c r="AA100" i="9"/>
  <c r="Y100" i="9"/>
  <c r="AZ62" i="9"/>
  <c r="DN8" i="7"/>
  <c r="DN64" i="6"/>
  <c r="DJ8" i="7"/>
  <c r="DJ64" i="6"/>
  <c r="DF8" i="7"/>
  <c r="DF64" i="6"/>
  <c r="DB8" i="7"/>
  <c r="DB64" i="6"/>
  <c r="CX8" i="7"/>
  <c r="CX64" i="6"/>
  <c r="CT8" i="7"/>
  <c r="BU8" i="7"/>
  <c r="BU64" i="6"/>
  <c r="BQ8" i="7"/>
  <c r="BQ64" i="6"/>
  <c r="BM8" i="7"/>
  <c r="BM64" i="6"/>
  <c r="BI8" i="7"/>
  <c r="BI64" i="6"/>
  <c r="BE8" i="7"/>
  <c r="BE64" i="6"/>
  <c r="BA8" i="7"/>
  <c r="BA64" i="6"/>
  <c r="AW8" i="7"/>
  <c r="AW64" i="6"/>
  <c r="AS8" i="7"/>
  <c r="AS64" i="6"/>
  <c r="AQ8" i="7"/>
  <c r="AQ64" i="6"/>
  <c r="AM8" i="7"/>
  <c r="AM64" i="6"/>
  <c r="AI8" i="7"/>
  <c r="AI64" i="6"/>
  <c r="AE8" i="7"/>
  <c r="AE64" i="6"/>
  <c r="AJ86" i="9"/>
  <c r="AH86" i="9"/>
  <c r="AF86" i="9"/>
  <c r="AD86" i="9"/>
  <c r="AB86" i="9"/>
  <c r="Z86" i="9"/>
  <c r="AQ78" i="9"/>
  <c r="AR84" i="9"/>
  <c r="AO78" i="9"/>
  <c r="AP84" i="9"/>
  <c r="AM78" i="9"/>
  <c r="AN84" i="9"/>
  <c r="AK78" i="9"/>
  <c r="AL84" i="9"/>
  <c r="AI78" i="9"/>
  <c r="AJ84" i="9"/>
  <c r="AG78" i="9"/>
  <c r="AH84" i="9"/>
  <c r="AE78" i="9"/>
  <c r="AF84" i="9"/>
  <c r="AC78" i="9"/>
  <c r="AD84" i="9"/>
  <c r="AA78" i="9"/>
  <c r="AB84" i="9"/>
  <c r="Y78" i="9"/>
  <c r="Z84" i="9"/>
  <c r="BD62" i="9"/>
  <c r="BB62" i="9"/>
  <c r="AV62" i="9"/>
  <c r="DP8" i="7"/>
  <c r="DP64" i="6"/>
  <c r="DL8" i="7"/>
  <c r="DL64" i="6"/>
  <c r="DH8" i="7"/>
  <c r="DH64" i="6"/>
  <c r="DD8" i="7"/>
  <c r="DD64" i="6"/>
  <c r="CV8" i="7"/>
  <c r="BW8" i="7"/>
  <c r="BW64" i="6"/>
  <c r="BS8" i="7"/>
  <c r="BS64" i="6"/>
  <c r="BO8" i="7"/>
  <c r="BO64" i="6"/>
  <c r="BK8" i="7"/>
  <c r="BK64" i="6"/>
  <c r="BG8" i="7"/>
  <c r="BG64" i="6"/>
  <c r="BC8" i="7"/>
  <c r="BC64" i="6"/>
  <c r="AY8" i="7"/>
  <c r="AY64" i="6"/>
  <c r="AU8" i="7"/>
  <c r="AU64" i="6"/>
  <c r="AO8" i="7"/>
  <c r="AO64" i="6"/>
  <c r="AK8" i="7"/>
  <c r="AK64" i="6"/>
  <c r="AG8" i="7"/>
  <c r="AG64" i="6"/>
  <c r="BE62" i="9"/>
  <c r="BC62" i="9"/>
  <c r="BA62" i="9"/>
  <c r="AW62" i="9"/>
  <c r="AR62" i="9"/>
  <c r="CM98" i="6"/>
  <c r="CK98" i="6"/>
  <c r="CI98" i="6"/>
  <c r="CG98" i="6"/>
  <c r="CC98" i="6"/>
  <c r="CC99" i="6" s="1"/>
  <c r="CA98" i="6"/>
  <c r="CA99" i="6" s="1"/>
  <c r="AC64" i="6"/>
  <c r="W64" i="6"/>
  <c r="U64" i="6"/>
  <c r="S64" i="6"/>
  <c r="Q64" i="6"/>
  <c r="O64" i="6"/>
  <c r="M64" i="6"/>
  <c r="K64" i="6"/>
  <c r="I64" i="6"/>
  <c r="G64" i="6"/>
  <c r="DO8" i="7"/>
  <c r="DO64" i="6"/>
  <c r="DM8" i="7"/>
  <c r="DM64" i="6"/>
  <c r="DK8" i="7"/>
  <c r="DK64" i="6"/>
  <c r="DI8" i="7"/>
  <c r="DI64" i="6"/>
  <c r="DG8" i="7"/>
  <c r="DG64" i="6"/>
  <c r="DE8" i="7"/>
  <c r="DE64" i="6"/>
  <c r="DC8" i="7"/>
  <c r="DC64" i="6"/>
  <c r="DA8" i="7"/>
  <c r="DA64" i="6"/>
  <c r="BX8" i="7"/>
  <c r="BX64" i="6"/>
  <c r="BV8" i="7"/>
  <c r="BV64" i="6"/>
  <c r="BT8" i="7"/>
  <c r="BT64" i="6"/>
  <c r="BR8" i="7"/>
  <c r="BR64" i="6"/>
  <c r="BP8" i="7"/>
  <c r="BP64" i="6"/>
  <c r="BN8" i="7"/>
  <c r="BN64" i="6"/>
  <c r="BL8" i="7"/>
  <c r="BL64" i="6"/>
  <c r="BJ8" i="7"/>
  <c r="BJ64" i="6"/>
  <c r="BH8" i="7"/>
  <c r="BH64" i="6"/>
  <c r="BF8" i="7"/>
  <c r="BF64" i="6"/>
  <c r="BD8" i="7"/>
  <c r="BD64" i="6"/>
  <c r="BB8" i="7"/>
  <c r="BB64" i="6"/>
  <c r="AZ8" i="7"/>
  <c r="AZ64" i="6"/>
  <c r="AX8" i="7"/>
  <c r="AX64" i="6"/>
  <c r="AV8" i="7"/>
  <c r="AV64" i="6"/>
  <c r="AT8" i="7"/>
  <c r="AT64" i="6"/>
  <c r="AR8" i="7"/>
  <c r="AR64" i="6"/>
  <c r="AP8" i="7"/>
  <c r="AP64" i="6"/>
  <c r="AN8" i="7"/>
  <c r="AN64" i="6"/>
  <c r="AL8" i="7"/>
  <c r="AL64" i="6"/>
  <c r="AJ8" i="7"/>
  <c r="AJ64" i="6"/>
  <c r="AH8" i="7"/>
  <c r="AH64" i="6"/>
  <c r="AF8" i="7"/>
  <c r="AF64" i="6"/>
  <c r="AD8" i="7"/>
  <c r="AD64" i="6"/>
  <c r="AL60" i="9"/>
  <c r="AJ60" i="9"/>
  <c r="AH60" i="9"/>
  <c r="AF60" i="9"/>
  <c r="AD60" i="9"/>
  <c r="AB60" i="9"/>
  <c r="Z60" i="9"/>
  <c r="X60" i="9"/>
  <c r="Y61" i="9" s="1"/>
  <c r="AO85" i="9"/>
  <c r="AK85" i="9"/>
  <c r="AG85" i="9"/>
  <c r="AC85" i="9"/>
  <c r="Y85" i="9"/>
  <c r="AO84" i="9"/>
  <c r="AK84" i="9"/>
  <c r="AG84" i="9"/>
  <c r="AC84" i="9"/>
  <c r="Y84" i="9"/>
  <c r="AN83" i="9"/>
  <c r="AJ83" i="9"/>
  <c r="AF83" i="9"/>
  <c r="AB83" i="9"/>
  <c r="BH62" i="9"/>
  <c r="BG141" i="9"/>
  <c r="BE141" i="9"/>
  <c r="BC141" i="9"/>
  <c r="AW141" i="9"/>
  <c r="BD78" i="9"/>
  <c r="AZ84" i="9"/>
  <c r="BF141" i="9"/>
  <c r="BB141" i="9"/>
  <c r="AX141" i="9"/>
  <c r="AW133" i="9"/>
  <c r="AW79" i="9" s="1"/>
  <c r="BI83" i="9"/>
  <c r="BB135" i="9"/>
  <c r="AW24" i="9"/>
  <c r="AZ85" i="9"/>
  <c r="BB78" i="9"/>
  <c r="AZ78" i="9"/>
  <c r="AX78" i="9"/>
  <c r="AV78" i="9"/>
  <c r="CM69" i="6"/>
  <c r="CM67" i="5"/>
  <c r="BF115" i="9" s="1"/>
  <c r="CF57" i="5"/>
  <c r="AY113" i="9" s="1"/>
  <c r="BB86" i="9"/>
  <c r="Q51" i="5"/>
  <c r="Q57" i="5" s="1"/>
  <c r="L113" i="9" s="1"/>
  <c r="BH135" i="9"/>
  <c r="BF135" i="9"/>
  <c r="BD135" i="9"/>
  <c r="BB106" i="9"/>
  <c r="AZ135" i="9"/>
  <c r="AX135" i="9"/>
  <c r="BH85" i="9"/>
  <c r="AR86" i="9"/>
  <c r="CE67" i="5"/>
  <c r="AX115" i="9" s="1"/>
  <c r="BG84" i="9"/>
  <c r="AS84" i="9"/>
  <c r="CN57" i="5"/>
  <c r="BG113" i="9" s="1"/>
  <c r="CJ57" i="5"/>
  <c r="BC113" i="9" s="1"/>
  <c r="CB57" i="5"/>
  <c r="AU113" i="9" s="1"/>
  <c r="AR101" i="9"/>
  <c r="AS102" i="9" s="1"/>
  <c r="BY69" i="6"/>
  <c r="N65" i="5"/>
  <c r="O67" i="6"/>
  <c r="J101" i="9" s="1"/>
  <c r="O51" i="5"/>
  <c r="O23" i="6"/>
  <c r="BA133" i="9"/>
  <c r="BA79" i="9" s="1"/>
  <c r="BA141" i="9"/>
  <c r="AY100" i="9"/>
  <c r="AY141" i="9"/>
  <c r="BI84" i="9"/>
  <c r="BH84" i="9"/>
  <c r="BG24" i="9"/>
  <c r="BG78" i="9"/>
  <c r="BG83" i="9"/>
  <c r="BE78" i="9"/>
  <c r="BE24" i="9"/>
  <c r="BE91" i="9"/>
  <c r="BC24" i="9"/>
  <c r="BC91" i="9"/>
  <c r="BA78" i="9"/>
  <c r="BA91" i="9"/>
  <c r="AY24" i="9"/>
  <c r="AY91" i="9"/>
  <c r="AW78" i="9"/>
  <c r="AW91" i="9"/>
  <c r="AU83" i="9"/>
  <c r="AU91" i="9"/>
  <c r="AS83" i="9"/>
  <c r="AS91" i="9"/>
  <c r="O37" i="6"/>
  <c r="Q23" i="6"/>
  <c r="BE133" i="9"/>
  <c r="BE79" i="9" s="1"/>
  <c r="AV135" i="9"/>
  <c r="AV136" i="9" s="1"/>
  <c r="AV106" i="9"/>
  <c r="BB83" i="9"/>
  <c r="AY78" i="9"/>
  <c r="CI67" i="5"/>
  <c r="BB115" i="9" s="1"/>
  <c r="CA67" i="5"/>
  <c r="AT115" i="9" s="1"/>
  <c r="O26" i="5"/>
  <c r="CE69" i="6"/>
  <c r="Q60" i="7"/>
  <c r="O60" i="7"/>
  <c r="BG133" i="9"/>
  <c r="BG79" i="9" s="1"/>
  <c r="BE100" i="9"/>
  <c r="BC133" i="9"/>
  <c r="BC79" i="9" s="1"/>
  <c r="AY133" i="9"/>
  <c r="AY79" i="9" s="1"/>
  <c r="BF86" i="9"/>
  <c r="AX86" i="9"/>
  <c r="BD85" i="9"/>
  <c r="AV85" i="9"/>
  <c r="CK67" i="5"/>
  <c r="BD115" i="9" s="1"/>
  <c r="BY67" i="5"/>
  <c r="AR115" i="9" s="1"/>
  <c r="CL57" i="5"/>
  <c r="BE113" i="9" s="1"/>
  <c r="CO67" i="5"/>
  <c r="BH115" i="9" s="1"/>
  <c r="CG67" i="5"/>
  <c r="AZ115" i="9" s="1"/>
  <c r="CC67" i="5"/>
  <c r="AV115" i="9" s="1"/>
  <c r="CH57" i="5"/>
  <c r="BA113" i="9" s="1"/>
  <c r="CD57" i="5"/>
  <c r="AW113" i="9" s="1"/>
  <c r="BZ57" i="5"/>
  <c r="AS113" i="9" s="1"/>
  <c r="O66" i="5"/>
  <c r="O67" i="5" s="1"/>
  <c r="J115" i="9" s="1"/>
  <c r="Q26" i="5"/>
  <c r="P30" i="7"/>
  <c r="O13" i="6"/>
  <c r="AR135" i="9"/>
  <c r="AR136" i="9" s="1"/>
  <c r="BG135" i="9"/>
  <c r="BF106" i="9"/>
  <c r="BC135" i="9"/>
  <c r="BA135" i="9"/>
  <c r="BA136" i="9" s="1"/>
  <c r="AY135" i="9"/>
  <c r="AY136" i="9" s="1"/>
  <c r="AX106" i="9"/>
  <c r="AU135" i="9"/>
  <c r="AU136" i="9" s="1"/>
  <c r="AT106" i="9"/>
  <c r="BH133" i="9"/>
  <c r="BF133" i="9"/>
  <c r="BD133" i="9"/>
  <c r="BA100" i="9"/>
  <c r="AZ133" i="9"/>
  <c r="AW100" i="9"/>
  <c r="BD84" i="9"/>
  <c r="AT84" i="9"/>
  <c r="BD83" i="9"/>
  <c r="AY83" i="9"/>
  <c r="BC78" i="9"/>
  <c r="AS78" i="9"/>
  <c r="AU86" i="9"/>
  <c r="AS86" i="9"/>
  <c r="BH86" i="9"/>
  <c r="BD86" i="9"/>
  <c r="AZ86" i="9"/>
  <c r="AT86" i="9"/>
  <c r="BG85" i="9"/>
  <c r="BE85" i="9"/>
  <c r="BC85" i="9"/>
  <c r="BA85" i="9"/>
  <c r="AY85" i="9"/>
  <c r="AW85" i="9"/>
  <c r="AU85" i="9"/>
  <c r="AS85" i="9"/>
  <c r="BA24" i="9"/>
  <c r="DJ24" i="5"/>
  <c r="DA23" i="5"/>
  <c r="T24" i="5"/>
  <c r="T44" i="6"/>
  <c r="K101" i="9"/>
  <c r="K102" i="9" s="1"/>
  <c r="P69" i="6"/>
  <c r="CT65" i="5"/>
  <c r="P66" i="5"/>
  <c r="P67" i="5" s="1"/>
  <c r="N66" i="5"/>
  <c r="O52" i="5"/>
  <c r="P51" i="5"/>
  <c r="P57" i="5" s="1"/>
  <c r="K113" i="9" s="1"/>
  <c r="P33" i="7"/>
  <c r="O30" i="7"/>
  <c r="P13" i="5"/>
  <c r="CI69" i="6"/>
  <c r="CA69" i="6"/>
  <c r="Q68" i="6"/>
  <c r="O68" i="6"/>
  <c r="J142" i="9" s="1"/>
  <c r="BG102" i="9"/>
  <c r="BE102" i="9"/>
  <c r="BC102" i="9"/>
  <c r="BA102" i="9"/>
  <c r="AY102" i="9"/>
  <c r="AW102" i="9"/>
  <c r="AU102" i="9"/>
  <c r="Q37" i="6"/>
  <c r="Q13" i="6"/>
  <c r="BE135" i="9"/>
  <c r="BE136" i="9" s="1"/>
  <c r="AW135" i="9"/>
  <c r="AS135" i="9"/>
  <c r="BB133" i="9"/>
  <c r="AX133" i="9"/>
  <c r="AX134" i="9" s="1"/>
  <c r="BH106" i="9"/>
  <c r="BG106" i="9"/>
  <c r="BE106" i="9"/>
  <c r="BC106" i="9"/>
  <c r="BA106" i="9"/>
  <c r="AY106" i="9"/>
  <c r="AW106" i="9"/>
  <c r="AU106" i="9"/>
  <c r="AS106" i="9"/>
  <c r="BF100" i="9"/>
  <c r="BD100" i="9"/>
  <c r="BB100" i="9"/>
  <c r="AZ100" i="9"/>
  <c r="AX100" i="9"/>
  <c r="BG91" i="9"/>
  <c r="BF85" i="9"/>
  <c r="BB85" i="9"/>
  <c r="AX85" i="9"/>
  <c r="AT85" i="9"/>
  <c r="BF84" i="9"/>
  <c r="BB84" i="9"/>
  <c r="AX84" i="9"/>
  <c r="BH83" i="9"/>
  <c r="BE83" i="9"/>
  <c r="BC83" i="9"/>
  <c r="BA83" i="9"/>
  <c r="AW83" i="9"/>
  <c r="BH78" i="9"/>
  <c r="CN67" i="5"/>
  <c r="CL67" i="5"/>
  <c r="CJ67" i="5"/>
  <c r="CK68" i="5" s="1"/>
  <c r="CH67" i="5"/>
  <c r="CF67" i="5"/>
  <c r="CD67" i="5"/>
  <c r="AW115" i="9" s="1"/>
  <c r="CB67" i="5"/>
  <c r="BZ67" i="5"/>
  <c r="BZ68" i="5" s="1"/>
  <c r="Q67" i="5"/>
  <c r="L115" i="9" s="1"/>
  <c r="CO57" i="5"/>
  <c r="BH113" i="9" s="1"/>
  <c r="CM57" i="5"/>
  <c r="CK57" i="5"/>
  <c r="BD113" i="9" s="1"/>
  <c r="CI57" i="5"/>
  <c r="CG57" i="5"/>
  <c r="AZ113" i="9" s="1"/>
  <c r="CE57" i="5"/>
  <c r="CF58" i="5" s="1"/>
  <c r="CC57" i="5"/>
  <c r="AV113" i="9" s="1"/>
  <c r="AV114" i="9" s="1"/>
  <c r="CA57" i="5"/>
  <c r="AT113" i="9" s="1"/>
  <c r="BY57" i="5"/>
  <c r="AR113" i="9" s="1"/>
  <c r="BG103" i="9"/>
  <c r="BG144" i="9" s="1"/>
  <c r="CR24" i="7"/>
  <c r="CR61" i="7"/>
  <c r="BE103" i="9"/>
  <c r="CP61" i="7"/>
  <c r="CP24" i="7"/>
  <c r="P69" i="7"/>
  <c r="P13" i="6"/>
  <c r="N13" i="6"/>
  <c r="BD106" i="9"/>
  <c r="AZ106" i="9"/>
  <c r="BG100" i="9"/>
  <c r="BC100" i="9"/>
  <c r="BH103" i="9"/>
  <c r="BI104" i="9" s="1"/>
  <c r="CP74" i="6"/>
  <c r="CP79" i="6" s="1"/>
  <c r="BF103" i="9"/>
  <c r="BF144" i="9" s="1"/>
  <c r="CQ61" i="7"/>
  <c r="CQ24" i="7"/>
  <c r="CO69" i="6"/>
  <c r="CK69" i="6"/>
  <c r="CG69" i="6"/>
  <c r="CC69" i="6"/>
  <c r="BI135" i="9"/>
  <c r="BI106" i="9"/>
  <c r="BH100" i="9"/>
  <c r="BI133" i="9"/>
  <c r="BI100" i="9"/>
  <c r="BG86" i="9"/>
  <c r="BE86" i="9"/>
  <c r="BC86" i="9"/>
  <c r="BA86" i="9"/>
  <c r="AY86" i="9"/>
  <c r="P32" i="5"/>
  <c r="P26" i="5"/>
  <c r="N26" i="5"/>
  <c r="I27" i="9" s="1"/>
  <c r="P35" i="7"/>
  <c r="BI86" i="9"/>
  <c r="Q49" i="9"/>
  <c r="R49" i="9"/>
  <c r="P49" i="9"/>
  <c r="BH79" i="9"/>
  <c r="BF79" i="9"/>
  <c r="BD79" i="9"/>
  <c r="BE84" i="9"/>
  <c r="BC84" i="9"/>
  <c r="BA84" i="9"/>
  <c r="AY84" i="9"/>
  <c r="AW84" i="9"/>
  <c r="BF24" i="9"/>
  <c r="BD24" i="9"/>
  <c r="BB24" i="9"/>
  <c r="AZ24" i="9"/>
  <c r="AX24" i="9"/>
  <c r="AV24" i="9"/>
  <c r="AT78" i="9"/>
  <c r="AR78" i="9"/>
  <c r="BH24" i="9"/>
  <c r="N13" i="5"/>
  <c r="O13" i="5"/>
  <c r="AZ83" i="9"/>
  <c r="AX83" i="9"/>
  <c r="AV83" i="9"/>
  <c r="AT83" i="9"/>
  <c r="AR83" i="9"/>
  <c r="BF91" i="9"/>
  <c r="BF83" i="9"/>
  <c r="BF78" i="9"/>
  <c r="Q13" i="5"/>
  <c r="Q15" i="5" s="1"/>
  <c r="B34" i="9"/>
  <c r="B38" i="9" s="1"/>
  <c r="B43" i="9" s="1"/>
  <c r="B47" i="9" s="1"/>
  <c r="B51" i="9" s="1"/>
  <c r="X17" i="10"/>
  <c r="L34" i="7"/>
  <c r="J34" i="7"/>
  <c r="AC71" i="6"/>
  <c r="AD71" i="6"/>
  <c r="AD23" i="7" s="1"/>
  <c r="AN115" i="9"/>
  <c r="AJ115" i="9"/>
  <c r="AF115" i="9"/>
  <c r="AB115" i="9"/>
  <c r="X115" i="9"/>
  <c r="G115" i="9"/>
  <c r="E115" i="9"/>
  <c r="G113" i="9"/>
  <c r="H114" i="9" s="1"/>
  <c r="C113" i="9"/>
  <c r="M30" i="7"/>
  <c r="K30" i="7"/>
  <c r="M68" i="6"/>
  <c r="M69" i="6" s="1"/>
  <c r="K68" i="6"/>
  <c r="K69" i="6" s="1"/>
  <c r="I68" i="6"/>
  <c r="I69" i="6" s="1"/>
  <c r="M37" i="6"/>
  <c r="M72" i="7" s="1"/>
  <c r="K31" i="6"/>
  <c r="F97" i="9" s="1"/>
  <c r="M23" i="6"/>
  <c r="I23" i="6"/>
  <c r="AQ106" i="9"/>
  <c r="AO106" i="9"/>
  <c r="AM106" i="9"/>
  <c r="AK106" i="9"/>
  <c r="AI106" i="9"/>
  <c r="AG106" i="9"/>
  <c r="AE106" i="9"/>
  <c r="AC106" i="9"/>
  <c r="AA106" i="9"/>
  <c r="Y106" i="9"/>
  <c r="AJ100" i="9"/>
  <c r="L23" i="6"/>
  <c r="J23" i="6"/>
  <c r="H23" i="6"/>
  <c r="L13" i="6"/>
  <c r="J13" i="6"/>
  <c r="H13" i="6"/>
  <c r="L58" i="6"/>
  <c r="M58" i="6"/>
  <c r="N44" i="7" s="1"/>
  <c r="K37" i="6"/>
  <c r="M31" i="6"/>
  <c r="H97" i="9" s="1"/>
  <c r="M69" i="7"/>
  <c r="K69" i="7"/>
  <c r="AH138" i="9"/>
  <c r="AN136" i="9"/>
  <c r="AJ136" i="9"/>
  <c r="AF136" i="9"/>
  <c r="AB136" i="9"/>
  <c r="AP134" i="9"/>
  <c r="AP106" i="9"/>
  <c r="AL106" i="9"/>
  <c r="AH106" i="9"/>
  <c r="AP100" i="9"/>
  <c r="AL100" i="9"/>
  <c r="AH100" i="9"/>
  <c r="AD100" i="9"/>
  <c r="Z100" i="9"/>
  <c r="DA20" i="5"/>
  <c r="DB20" i="5" s="1"/>
  <c r="DC20" i="5" s="1"/>
  <c r="DD20" i="5" s="1"/>
  <c r="DE20" i="5" s="1"/>
  <c r="DF20" i="5" s="1"/>
  <c r="DG20" i="5" s="1"/>
  <c r="DH20" i="5" s="1"/>
  <c r="DI20" i="5" s="1"/>
  <c r="DJ20" i="5" s="1"/>
  <c r="DK20" i="5" s="1"/>
  <c r="DL20" i="5" s="1"/>
  <c r="DM20" i="5" s="1"/>
  <c r="DN20" i="5" s="1"/>
  <c r="DO20" i="5" s="1"/>
  <c r="DP20" i="5" s="1"/>
  <c r="DQ20" i="5" s="1"/>
  <c r="R16" i="6"/>
  <c r="BE115" i="9"/>
  <c r="BF116" i="9" s="1"/>
  <c r="BA115" i="9"/>
  <c r="BB116" i="9" s="1"/>
  <c r="AS115" i="9"/>
  <c r="AS116" i="9" s="1"/>
  <c r="AO115" i="9"/>
  <c r="AK115" i="9"/>
  <c r="AG115" i="9"/>
  <c r="D115" i="9"/>
  <c r="H113" i="9"/>
  <c r="F113" i="9"/>
  <c r="D113" i="9"/>
  <c r="D114" i="9" s="1"/>
  <c r="AQ115" i="9"/>
  <c r="AR129" i="9" s="1"/>
  <c r="AM115" i="9"/>
  <c r="AI115" i="9"/>
  <c r="AE115" i="9"/>
  <c r="AC115" i="9"/>
  <c r="AD129" i="9" s="1"/>
  <c r="AA115" i="9"/>
  <c r="Y115" i="9"/>
  <c r="Z129" i="9" s="1"/>
  <c r="H115" i="9"/>
  <c r="H116" i="9" s="1"/>
  <c r="F115" i="9"/>
  <c r="BF113" i="9"/>
  <c r="BG127" i="9" s="1"/>
  <c r="CL58" i="5"/>
  <c r="CL21" i="7" s="1"/>
  <c r="CL59" i="5" s="1"/>
  <c r="BB113" i="9"/>
  <c r="BC127" i="9" s="1"/>
  <c r="AP113" i="9"/>
  <c r="AP114" i="9" s="1"/>
  <c r="AN113" i="9"/>
  <c r="AO114" i="9" s="1"/>
  <c r="AL113" i="9"/>
  <c r="AM114" i="9" s="1"/>
  <c r="AJ113" i="9"/>
  <c r="AH113" i="9"/>
  <c r="AI114" i="9" s="1"/>
  <c r="AF113" i="9"/>
  <c r="AD113" i="9"/>
  <c r="AE114" i="9" s="1"/>
  <c r="AB113" i="9"/>
  <c r="Z113" i="9"/>
  <c r="AA114" i="9" s="1"/>
  <c r="X113" i="9"/>
  <c r="Y114" i="9" s="1"/>
  <c r="AC47" i="7"/>
  <c r="BD22" i="7"/>
  <c r="AZ22" i="7"/>
  <c r="AV22" i="7"/>
  <c r="AR22" i="7"/>
  <c r="AN22" i="7"/>
  <c r="AJ22" i="7"/>
  <c r="AF22" i="7"/>
  <c r="BE21" i="7"/>
  <c r="BC21" i="7"/>
  <c r="BA21" i="7"/>
  <c r="AW21" i="7"/>
  <c r="AS21" i="7"/>
  <c r="AO21" i="7"/>
  <c r="AK21" i="7"/>
  <c r="AG21" i="7"/>
  <c r="AC46" i="7"/>
  <c r="L21" i="7"/>
  <c r="O15" i="5"/>
  <c r="M76" i="6"/>
  <c r="D71" i="6"/>
  <c r="BW22" i="7"/>
  <c r="BU22" i="7"/>
  <c r="BS22" i="7"/>
  <c r="BQ22" i="7"/>
  <c r="BO22" i="7"/>
  <c r="BM22" i="7"/>
  <c r="BK22" i="7"/>
  <c r="BI22" i="7"/>
  <c r="BG22" i="7"/>
  <c r="BE22" i="7"/>
  <c r="BC22" i="7"/>
  <c r="BA22" i="7"/>
  <c r="AY22" i="7"/>
  <c r="AW22" i="7"/>
  <c r="AU22" i="7"/>
  <c r="AS22" i="7"/>
  <c r="AQ22" i="7"/>
  <c r="AO22" i="7"/>
  <c r="AM22" i="7"/>
  <c r="AK22" i="7"/>
  <c r="AI22" i="7"/>
  <c r="AG22" i="7"/>
  <c r="AE22" i="7"/>
  <c r="AC48" i="7"/>
  <c r="L22" i="7"/>
  <c r="J22" i="7"/>
  <c r="CL68" i="5"/>
  <c r="CH68" i="5"/>
  <c r="M22" i="7"/>
  <c r="K22" i="7"/>
  <c r="BX21" i="7"/>
  <c r="BV21" i="7"/>
  <c r="BT21" i="7"/>
  <c r="BR21" i="7"/>
  <c r="BP21" i="7"/>
  <c r="BN21" i="7"/>
  <c r="BL21" i="7"/>
  <c r="BJ21" i="7"/>
  <c r="BH21" i="7"/>
  <c r="BF21" i="7"/>
  <c r="BD21" i="7"/>
  <c r="BB21" i="7"/>
  <c r="AZ21" i="7"/>
  <c r="AX21" i="7"/>
  <c r="AV21" i="7"/>
  <c r="AT21" i="7"/>
  <c r="AR21" i="7"/>
  <c r="AP21" i="7"/>
  <c r="AN21" i="7"/>
  <c r="AL21" i="7"/>
  <c r="AJ21" i="7"/>
  <c r="AH21" i="7"/>
  <c r="AF21" i="7"/>
  <c r="AD21" i="7"/>
  <c r="M21" i="7"/>
  <c r="CM58" i="5"/>
  <c r="BW21" i="7"/>
  <c r="BU21" i="7"/>
  <c r="BS21" i="7"/>
  <c r="BQ21" i="7"/>
  <c r="BO21" i="7"/>
  <c r="BM21" i="7"/>
  <c r="BE23" i="7"/>
  <c r="BC23" i="7"/>
  <c r="AZ61" i="7"/>
  <c r="BA23" i="7"/>
  <c r="AX61" i="7"/>
  <c r="AY61" i="7"/>
  <c r="AV61" i="7"/>
  <c r="AW61" i="7"/>
  <c r="AT61" i="7"/>
  <c r="AU61" i="7"/>
  <c r="AR61" i="7"/>
  <c r="AS61" i="7"/>
  <c r="AP61" i="7"/>
  <c r="AQ61" i="7"/>
  <c r="AN61" i="7"/>
  <c r="AO61" i="7"/>
  <c r="AL61" i="7"/>
  <c r="AM61" i="7"/>
  <c r="AJ61" i="7"/>
  <c r="AK61" i="7"/>
  <c r="AH61" i="7"/>
  <c r="AI61" i="7"/>
  <c r="AF61" i="7"/>
  <c r="AG61" i="7"/>
  <c r="AE61" i="7"/>
  <c r="B71" i="6"/>
  <c r="R54" i="6"/>
  <c r="DA54" i="6"/>
  <c r="DB54" i="6" s="1"/>
  <c r="DC54" i="6" s="1"/>
  <c r="DD54" i="6" s="1"/>
  <c r="DE54" i="6" s="1"/>
  <c r="DF54" i="6" s="1"/>
  <c r="DG54" i="6" s="1"/>
  <c r="DH54" i="6" s="1"/>
  <c r="DI54" i="6" s="1"/>
  <c r="DJ54" i="6" s="1"/>
  <c r="DK54" i="6" s="1"/>
  <c r="DL54" i="6" s="1"/>
  <c r="DM54" i="6" s="1"/>
  <c r="DN54" i="6" s="1"/>
  <c r="DO54" i="6" s="1"/>
  <c r="DP54" i="6" s="1"/>
  <c r="DQ54" i="6" s="1"/>
  <c r="DR54" i="6" s="1"/>
  <c r="DS54" i="6" s="1"/>
  <c r="DT54" i="6" s="1"/>
  <c r="BZ62" i="6"/>
  <c r="R25" i="5"/>
  <c r="R35" i="7" s="1"/>
  <c r="Q35" i="7"/>
  <c r="O35" i="7"/>
  <c r="M35" i="7"/>
  <c r="K35" i="7"/>
  <c r="Q33" i="7"/>
  <c r="O33" i="7"/>
  <c r="M33" i="7"/>
  <c r="K33" i="7"/>
  <c r="P15" i="5"/>
  <c r="CN98" i="6"/>
  <c r="CN99" i="6" s="1"/>
  <c r="CL98" i="6"/>
  <c r="CL99" i="6" s="1"/>
  <c r="CJ98" i="6"/>
  <c r="CH98" i="6"/>
  <c r="CH99" i="6" s="1"/>
  <c r="CB98" i="6"/>
  <c r="CB99" i="6" s="1"/>
  <c r="BZ98" i="6"/>
  <c r="H104" i="6"/>
  <c r="X92" i="6"/>
  <c r="W92" i="6"/>
  <c r="V92" i="6"/>
  <c r="U92" i="6"/>
  <c r="T92" i="6"/>
  <c r="S92" i="6"/>
  <c r="Q92" i="6"/>
  <c r="P92" i="6"/>
  <c r="O92" i="6"/>
  <c r="N92" i="6"/>
  <c r="M92" i="6"/>
  <c r="L92" i="6"/>
  <c r="K92" i="6"/>
  <c r="J92" i="6"/>
  <c r="I92" i="6"/>
  <c r="H92" i="6"/>
  <c r="Q86" i="6"/>
  <c r="P86" i="6"/>
  <c r="O86" i="6"/>
  <c r="N86" i="6"/>
  <c r="M86" i="6"/>
  <c r="L86" i="6"/>
  <c r="K86" i="6"/>
  <c r="J86" i="6"/>
  <c r="I86" i="6"/>
  <c r="H86" i="6"/>
  <c r="AO23" i="7"/>
  <c r="Q75" i="6"/>
  <c r="Q77" i="6" s="1"/>
  <c r="P75" i="6"/>
  <c r="P77" i="6" s="1"/>
  <c r="O75" i="6"/>
  <c r="O77" i="6" s="1"/>
  <c r="CN69" i="6"/>
  <c r="CL69" i="6"/>
  <c r="CJ69" i="6"/>
  <c r="CH69" i="6"/>
  <c r="CF69" i="6"/>
  <c r="CD69" i="6"/>
  <c r="CB69" i="6"/>
  <c r="BZ69" i="6"/>
  <c r="Q69" i="6"/>
  <c r="L69" i="6"/>
  <c r="J69" i="6"/>
  <c r="H69" i="6"/>
  <c r="BH102" i="9"/>
  <c r="BF102" i="9"/>
  <c r="BD102" i="9"/>
  <c r="BB102" i="9"/>
  <c r="AZ102" i="9"/>
  <c r="AX102" i="9"/>
  <c r="AV102" i="9"/>
  <c r="AT102" i="9"/>
  <c r="AP102" i="9"/>
  <c r="AN102" i="9"/>
  <c r="AL102" i="9"/>
  <c r="AJ102" i="9"/>
  <c r="AH102" i="9"/>
  <c r="AF102" i="9"/>
  <c r="AD102" i="9"/>
  <c r="AB102" i="9"/>
  <c r="Z102" i="9"/>
  <c r="H102" i="9"/>
  <c r="F102" i="9"/>
  <c r="D102" i="9"/>
  <c r="CL62" i="6"/>
  <c r="CH62" i="6"/>
  <c r="CD62" i="6"/>
  <c r="O48" i="6"/>
  <c r="K48" i="6"/>
  <c r="F109" i="9" s="1"/>
  <c r="P37" i="6"/>
  <c r="P72" i="7" s="1"/>
  <c r="N37" i="6"/>
  <c r="I107" i="9" s="1"/>
  <c r="L37" i="6"/>
  <c r="J37" i="6"/>
  <c r="H37" i="6"/>
  <c r="R15" i="6"/>
  <c r="X106" i="6"/>
  <c r="X104" i="6" s="1"/>
  <c r="W106" i="6"/>
  <c r="W104" i="6" s="1"/>
  <c r="V106" i="6"/>
  <c r="V104" i="6" s="1"/>
  <c r="U106" i="6"/>
  <c r="U104" i="6" s="1"/>
  <c r="T106" i="6"/>
  <c r="S106" i="6"/>
  <c r="X100" i="6"/>
  <c r="X99" i="6" s="1"/>
  <c r="W100" i="6"/>
  <c r="W99" i="6" s="1"/>
  <c r="V100" i="6"/>
  <c r="V99" i="6" s="1"/>
  <c r="U100" i="6"/>
  <c r="U99" i="6" s="1"/>
  <c r="T100" i="6"/>
  <c r="S100" i="6"/>
  <c r="R92" i="6"/>
  <c r="R86" i="6"/>
  <c r="M85" i="6"/>
  <c r="L85" i="6"/>
  <c r="K85" i="6"/>
  <c r="J85" i="6"/>
  <c r="I85" i="6"/>
  <c r="H85" i="6"/>
  <c r="BD23" i="7"/>
  <c r="BB23" i="7"/>
  <c r="AZ23" i="7"/>
  <c r="AX23" i="7"/>
  <c r="AV23" i="7"/>
  <c r="AT23" i="7"/>
  <c r="AR23" i="7"/>
  <c r="AP23" i="7"/>
  <c r="AN23" i="7"/>
  <c r="AL23" i="7"/>
  <c r="AJ23" i="7"/>
  <c r="AH23" i="7"/>
  <c r="AF23" i="7"/>
  <c r="L75" i="6"/>
  <c r="L77" i="6" s="1"/>
  <c r="K75" i="6"/>
  <c r="K77" i="6" s="1"/>
  <c r="J75" i="6"/>
  <c r="J77" i="6" s="1"/>
  <c r="I75" i="6"/>
  <c r="H75" i="6"/>
  <c r="H77" i="6" s="1"/>
  <c r="R56" i="6"/>
  <c r="DA56" i="6"/>
  <c r="DB56" i="6" s="1"/>
  <c r="DC56" i="6" s="1"/>
  <c r="DD56" i="6" s="1"/>
  <c r="DE56" i="6" s="1"/>
  <c r="DF56" i="6" s="1"/>
  <c r="DG56" i="6" s="1"/>
  <c r="DH56" i="6" s="1"/>
  <c r="DI56" i="6" s="1"/>
  <c r="DJ56" i="6" s="1"/>
  <c r="DK56" i="6" s="1"/>
  <c r="DL56" i="6" s="1"/>
  <c r="DM56" i="6" s="1"/>
  <c r="DN56" i="6" s="1"/>
  <c r="DO56" i="6" s="1"/>
  <c r="DP56" i="6" s="1"/>
  <c r="DQ56" i="6" s="1"/>
  <c r="DR56" i="6" s="1"/>
  <c r="DS56" i="6" s="1"/>
  <c r="DT56" i="6" s="1"/>
  <c r="Q48" i="6"/>
  <c r="I48" i="6"/>
  <c r="D109" i="9" s="1"/>
  <c r="J31" i="6"/>
  <c r="K38" i="7" s="1"/>
  <c r="Q64" i="7"/>
  <c r="O64" i="7"/>
  <c r="M64" i="7"/>
  <c r="K64" i="7"/>
  <c r="CO31" i="6"/>
  <c r="CO41" i="7" s="1"/>
  <c r="CM31" i="6"/>
  <c r="BF97" i="9" s="1"/>
  <c r="CK31" i="6"/>
  <c r="CI31" i="6"/>
  <c r="BB97" i="9" s="1"/>
  <c r="CG31" i="6"/>
  <c r="AZ97" i="9" s="1"/>
  <c r="CE31" i="6"/>
  <c r="AX97" i="9" s="1"/>
  <c r="CC31" i="6"/>
  <c r="AV122" i="9" s="1"/>
  <c r="CN69" i="7"/>
  <c r="L69" i="7"/>
  <c r="J69" i="7"/>
  <c r="P64" i="7"/>
  <c r="N64" i="7"/>
  <c r="L64" i="7"/>
  <c r="J64" i="7"/>
  <c r="P60" i="7"/>
  <c r="W158" i="9"/>
  <c r="X158" i="9" s="1"/>
  <c r="Y158" i="9" s="1"/>
  <c r="Z158" i="9" s="1"/>
  <c r="AA158" i="9" s="1"/>
  <c r="AB158" i="9" s="1"/>
  <c r="AC158" i="9" s="1"/>
  <c r="AD158" i="9" s="1"/>
  <c r="AE158" i="9" s="1"/>
  <c r="AF158" i="9" s="1"/>
  <c r="AG158" i="9" s="1"/>
  <c r="AH158" i="9" s="1"/>
  <c r="AI158" i="9" s="1"/>
  <c r="AJ158" i="9" s="1"/>
  <c r="AK158" i="9" s="1"/>
  <c r="AL158" i="9" s="1"/>
  <c r="AM158" i="9" s="1"/>
  <c r="AN158" i="9" s="1"/>
  <c r="AO158" i="9" s="1"/>
  <c r="AP158" i="9" s="1"/>
  <c r="AQ158" i="9" s="1"/>
  <c r="AR158" i="9" s="1"/>
  <c r="AS158" i="9" s="1"/>
  <c r="AT158" i="9" s="1"/>
  <c r="AU158" i="9" s="1"/>
  <c r="AV158" i="9" s="1"/>
  <c r="AW158" i="9" s="1"/>
  <c r="AX158" i="9" s="1"/>
  <c r="AY158" i="9" s="1"/>
  <c r="AZ158" i="9" s="1"/>
  <c r="BA158" i="9" s="1"/>
  <c r="BB158" i="9" s="1"/>
  <c r="BC158" i="9" s="1"/>
  <c r="BD158" i="9" s="1"/>
  <c r="BE158" i="9" s="1"/>
  <c r="BF158" i="9" s="1"/>
  <c r="BG158" i="9" s="1"/>
  <c r="BH158" i="9" s="1"/>
  <c r="S158" i="9"/>
  <c r="T158" i="9" s="1"/>
  <c r="U158" i="9" s="1"/>
  <c r="AQ134" i="9"/>
  <c r="AO134" i="9"/>
  <c r="AI134" i="9"/>
  <c r="AE134" i="9"/>
  <c r="AC134" i="9"/>
  <c r="AA134" i="9"/>
  <c r="AM60" i="9"/>
  <c r="AM61" i="9" s="1"/>
  <c r="AM112" i="9"/>
  <c r="AK60" i="9"/>
  <c r="AK61" i="9" s="1"/>
  <c r="AK112" i="9"/>
  <c r="AI60" i="9"/>
  <c r="AI61" i="9" s="1"/>
  <c r="AI112" i="9"/>
  <c r="AG60" i="9"/>
  <c r="AG61" i="9" s="1"/>
  <c r="AG112" i="9"/>
  <c r="AE60" i="9"/>
  <c r="AE61" i="9" s="1"/>
  <c r="AE112" i="9"/>
  <c r="AC60" i="9"/>
  <c r="AC112" i="9"/>
  <c r="AA60" i="9"/>
  <c r="AA61" i="9" s="1"/>
  <c r="AA112" i="9"/>
  <c r="Y112" i="9"/>
  <c r="Z61" i="9"/>
  <c r="X15" i="10"/>
  <c r="BB129" i="9"/>
  <c r="AP116" i="9"/>
  <c r="AO116" i="9"/>
  <c r="AP129" i="9"/>
  <c r="AN116" i="9"/>
  <c r="AM116" i="9"/>
  <c r="AL116" i="9"/>
  <c r="AM129" i="9"/>
  <c r="AK116" i="9"/>
  <c r="AL129" i="9"/>
  <c r="AJ116" i="9"/>
  <c r="AK129" i="9"/>
  <c r="AI116" i="9"/>
  <c r="AJ129" i="9"/>
  <c r="AH116" i="9"/>
  <c r="AI129" i="9"/>
  <c r="AH129" i="9"/>
  <c r="AE116" i="9"/>
  <c r="AD116" i="9"/>
  <c r="AE129" i="9"/>
  <c r="AC116" i="9"/>
  <c r="AB116" i="9"/>
  <c r="AA116" i="9"/>
  <c r="AB129" i="9"/>
  <c r="Z116" i="9"/>
  <c r="AA129" i="9"/>
  <c r="Y116" i="9"/>
  <c r="X116" i="9"/>
  <c r="G116" i="9"/>
  <c r="G129" i="9"/>
  <c r="F129" i="9"/>
  <c r="AQ114" i="9"/>
  <c r="AQ127" i="9"/>
  <c r="AP127" i="9"/>
  <c r="AO127" i="9"/>
  <c r="AN127" i="9"/>
  <c r="AK114" i="9"/>
  <c r="AJ114" i="9"/>
  <c r="AK127" i="9"/>
  <c r="AJ127" i="9"/>
  <c r="AI127" i="9"/>
  <c r="AG114" i="9"/>
  <c r="AH127" i="9"/>
  <c r="AF114" i="9"/>
  <c r="AG127" i="9"/>
  <c r="AF127" i="9"/>
  <c r="AE127" i="9"/>
  <c r="AC114" i="9"/>
  <c r="AD127" i="9"/>
  <c r="AB114" i="9"/>
  <c r="AC127" i="9"/>
  <c r="AB127" i="9"/>
  <c r="AA127" i="9"/>
  <c r="Z127" i="9"/>
  <c r="G127" i="9"/>
  <c r="C127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E36" i="9"/>
  <c r="AE62" i="9"/>
  <c r="AD36" i="9"/>
  <c r="AD62" i="9"/>
  <c r="AC36" i="9"/>
  <c r="AC62" i="9"/>
  <c r="AB36" i="9"/>
  <c r="AB62" i="9"/>
  <c r="AA36" i="9"/>
  <c r="AA62" i="9"/>
  <c r="Z36" i="9"/>
  <c r="Z62" i="9"/>
  <c r="Y36" i="9"/>
  <c r="Y62" i="9"/>
  <c r="X36" i="9"/>
  <c r="X20" i="10" s="1"/>
  <c r="X62" i="9"/>
  <c r="AY65" i="9"/>
  <c r="AY64" i="9" s="1"/>
  <c r="CE109" i="6"/>
  <c r="CF103" i="6" s="1"/>
  <c r="L64" i="9"/>
  <c r="K64" i="9"/>
  <c r="I64" i="9"/>
  <c r="H64" i="9"/>
  <c r="G64" i="9"/>
  <c r="G65" i="9" s="1"/>
  <c r="F64" i="9"/>
  <c r="F65" i="9" s="1"/>
  <c r="E64" i="9"/>
  <c r="E65" i="9" s="1"/>
  <c r="D64" i="9"/>
  <c r="D65" i="9" s="1"/>
  <c r="C64" i="9"/>
  <c r="C65" i="9" s="1"/>
  <c r="CO85" i="6"/>
  <c r="CK85" i="6"/>
  <c r="CG85" i="6"/>
  <c r="P85" i="6" s="1"/>
  <c r="CC85" i="6"/>
  <c r="O85" i="6" s="1"/>
  <c r="BY85" i="6"/>
  <c r="AZ49" i="9"/>
  <c r="AX49" i="9"/>
  <c r="AW49" i="9"/>
  <c r="O49" i="9"/>
  <c r="N49" i="9"/>
  <c r="L49" i="9"/>
  <c r="I49" i="9"/>
  <c r="H49" i="9"/>
  <c r="G49" i="9"/>
  <c r="F49" i="9"/>
  <c r="E49" i="9"/>
  <c r="D49" i="9"/>
  <c r="C49" i="9"/>
  <c r="AJ56" i="9"/>
  <c r="BQ48" i="7"/>
  <c r="AH56" i="9"/>
  <c r="BO48" i="7"/>
  <c r="AF56" i="9"/>
  <c r="BM48" i="7"/>
  <c r="AD56" i="9"/>
  <c r="BK48" i="7"/>
  <c r="AB56" i="9"/>
  <c r="BI48" i="7"/>
  <c r="Z56" i="9"/>
  <c r="BG48" i="7"/>
  <c r="X56" i="9"/>
  <c r="BE48" i="7"/>
  <c r="BD48" i="7"/>
  <c r="BC48" i="7"/>
  <c r="BB48" i="7"/>
  <c r="BA48" i="7"/>
  <c r="H84" i="6"/>
  <c r="L45" i="9"/>
  <c r="K45" i="9"/>
  <c r="J45" i="9"/>
  <c r="I45" i="9"/>
  <c r="H45" i="9"/>
  <c r="G45" i="9"/>
  <c r="F45" i="9"/>
  <c r="E45" i="9"/>
  <c r="D45" i="9"/>
  <c r="C45" i="9"/>
  <c r="AZ40" i="9"/>
  <c r="AX40" i="9"/>
  <c r="CE45" i="7"/>
  <c r="CE46" i="7" s="1"/>
  <c r="AW40" i="9"/>
  <c r="CD45" i="7"/>
  <c r="CD46" i="7" s="1"/>
  <c r="AV40" i="9"/>
  <c r="CC45" i="7"/>
  <c r="CC46" i="7" s="1"/>
  <c r="AU40" i="9"/>
  <c r="AN40" i="9"/>
  <c r="BU45" i="7"/>
  <c r="BU46" i="7" s="1"/>
  <c r="L40" i="9"/>
  <c r="G40" i="9"/>
  <c r="L45" i="7"/>
  <c r="L46" i="7" s="1"/>
  <c r="F40" i="9"/>
  <c r="K45" i="7"/>
  <c r="K46" i="7" s="1"/>
  <c r="E40" i="9"/>
  <c r="D40" i="9"/>
  <c r="C40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L36" i="9"/>
  <c r="K36" i="9"/>
  <c r="J36" i="9"/>
  <c r="I36" i="9"/>
  <c r="H36" i="9"/>
  <c r="M44" i="7"/>
  <c r="G36" i="9"/>
  <c r="L44" i="7"/>
  <c r="F36" i="9"/>
  <c r="K44" i="7"/>
  <c r="E36" i="9"/>
  <c r="J44" i="7"/>
  <c r="D36" i="9"/>
  <c r="C36" i="9"/>
  <c r="CO45" i="7"/>
  <c r="CO46" i="7" s="1"/>
  <c r="CN45" i="7"/>
  <c r="CN46" i="7" s="1"/>
  <c r="CL45" i="7"/>
  <c r="CL46" i="7" s="1"/>
  <c r="CK45" i="7"/>
  <c r="CK46" i="7" s="1"/>
  <c r="CJ45" i="7"/>
  <c r="CJ46" i="7" s="1"/>
  <c r="CI45" i="7"/>
  <c r="CI46" i="7" s="1"/>
  <c r="CF45" i="7"/>
  <c r="CF47" i="7" s="1"/>
  <c r="CE47" i="7"/>
  <c r="BZ45" i="7"/>
  <c r="BZ46" i="7" s="1"/>
  <c r="BX45" i="7"/>
  <c r="BX46" i="7" s="1"/>
  <c r="BW45" i="7"/>
  <c r="BW46" i="7" s="1"/>
  <c r="BV45" i="7"/>
  <c r="BV46" i="7" s="1"/>
  <c r="BU47" i="7"/>
  <c r="BT45" i="7"/>
  <c r="BT46" i="7" s="1"/>
  <c r="BS45" i="7"/>
  <c r="BS46" i="7" s="1"/>
  <c r="BR45" i="7"/>
  <c r="BR46" i="7" s="1"/>
  <c r="BQ45" i="7"/>
  <c r="BQ46" i="7" s="1"/>
  <c r="BP45" i="7"/>
  <c r="BP46" i="7" s="1"/>
  <c r="BO45" i="7"/>
  <c r="BO46" i="7" s="1"/>
  <c r="BN45" i="7"/>
  <c r="BN46" i="7" s="1"/>
  <c r="BM45" i="7"/>
  <c r="BM46" i="7" s="1"/>
  <c r="BL45" i="7"/>
  <c r="BL46" i="7" s="1"/>
  <c r="BK45" i="7"/>
  <c r="BK46" i="7" s="1"/>
  <c r="BJ45" i="7"/>
  <c r="BJ46" i="7" s="1"/>
  <c r="BI45" i="7"/>
  <c r="BI46" i="7" s="1"/>
  <c r="BH45" i="7"/>
  <c r="BH46" i="7" s="1"/>
  <c r="BG45" i="7"/>
  <c r="BG46" i="7" s="1"/>
  <c r="BF45" i="7"/>
  <c r="BF46" i="7" s="1"/>
  <c r="BE45" i="7"/>
  <c r="BE46" i="7" s="1"/>
  <c r="BD45" i="7"/>
  <c r="BD46" i="7" s="1"/>
  <c r="BC45" i="7"/>
  <c r="BC46" i="7" s="1"/>
  <c r="BB45" i="7"/>
  <c r="BB46" i="7" s="1"/>
  <c r="BA45" i="7"/>
  <c r="BA46" i="7" s="1"/>
  <c r="BH32" i="9"/>
  <c r="BG32" i="9"/>
  <c r="CN41" i="7"/>
  <c r="BF32" i="9"/>
  <c r="CM41" i="7"/>
  <c r="BE32" i="9"/>
  <c r="AU32" i="9"/>
  <c r="AT32" i="9"/>
  <c r="CA41" i="7"/>
  <c r="AS32" i="9"/>
  <c r="BZ41" i="7"/>
  <c r="K32" i="9"/>
  <c r="J32" i="9"/>
  <c r="H32" i="9"/>
  <c r="G32" i="9"/>
  <c r="F32" i="9"/>
  <c r="E32" i="9"/>
  <c r="D32" i="9"/>
  <c r="C32" i="9"/>
  <c r="Q40" i="7"/>
  <c r="P40" i="7"/>
  <c r="O40" i="7"/>
  <c r="N40" i="7"/>
  <c r="M40" i="7"/>
  <c r="L40" i="7"/>
  <c r="K40" i="7"/>
  <c r="J40" i="7"/>
  <c r="L29" i="9"/>
  <c r="K29" i="9"/>
  <c r="J29" i="9"/>
  <c r="I29" i="9"/>
  <c r="H29" i="9"/>
  <c r="G29" i="9"/>
  <c r="F29" i="9"/>
  <c r="E29" i="9"/>
  <c r="D29" i="9"/>
  <c r="C29" i="9"/>
  <c r="AV28" i="9"/>
  <c r="L28" i="9"/>
  <c r="K28" i="9"/>
  <c r="I28" i="9"/>
  <c r="H28" i="9"/>
  <c r="G28" i="9"/>
  <c r="F28" i="9"/>
  <c r="E28" i="9"/>
  <c r="D28" i="9"/>
  <c r="C28" i="9"/>
  <c r="Q70" i="5"/>
  <c r="P70" i="5"/>
  <c r="O70" i="5"/>
  <c r="N70" i="5"/>
  <c r="CK69" i="5"/>
  <c r="Q60" i="5"/>
  <c r="P60" i="5"/>
  <c r="O60" i="5"/>
  <c r="N60" i="5"/>
  <c r="P46" i="5"/>
  <c r="O44" i="5"/>
  <c r="P43" i="5"/>
  <c r="O43" i="5"/>
  <c r="P40" i="5"/>
  <c r="P36" i="5"/>
  <c r="O36" i="5"/>
  <c r="N36" i="5"/>
  <c r="AE27" i="9"/>
  <c r="AD27" i="9"/>
  <c r="AC27" i="9"/>
  <c r="AB27" i="9"/>
  <c r="AA27" i="9"/>
  <c r="Z27" i="9"/>
  <c r="Y27" i="9"/>
  <c r="X27" i="9"/>
  <c r="Q31" i="5"/>
  <c r="N31" i="5"/>
  <c r="O28" i="5"/>
  <c r="M98" i="6"/>
  <c r="L98" i="6"/>
  <c r="K98" i="6"/>
  <c r="J98" i="6"/>
  <c r="CM99" i="6"/>
  <c r="CK99" i="6"/>
  <c r="CI99" i="6"/>
  <c r="CG99" i="6"/>
  <c r="BY99" i="6"/>
  <c r="BH27" i="9"/>
  <c r="BI87" i="9" s="1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L27" i="9"/>
  <c r="J27" i="9"/>
  <c r="H27" i="9"/>
  <c r="G27" i="9"/>
  <c r="F27" i="9"/>
  <c r="E27" i="9"/>
  <c r="D27" i="9"/>
  <c r="C27" i="9"/>
  <c r="S44" i="6"/>
  <c r="R44" i="6"/>
  <c r="AF33" i="7"/>
  <c r="AE65" i="7"/>
  <c r="AE80" i="7"/>
  <c r="AE81" i="7"/>
  <c r="AR32" i="9"/>
  <c r="BC31" i="9"/>
  <c r="CJ29" i="7"/>
  <c r="AZ31" i="9"/>
  <c r="CG29" i="7"/>
  <c r="AX31" i="9"/>
  <c r="CE29" i="7"/>
  <c r="AW31" i="9"/>
  <c r="CD29" i="7"/>
  <c r="AN31" i="9"/>
  <c r="BU29" i="7"/>
  <c r="L31" i="9"/>
  <c r="Q29" i="7"/>
  <c r="I31" i="9"/>
  <c r="N29" i="7"/>
  <c r="G31" i="9"/>
  <c r="L29" i="7"/>
  <c r="F31" i="9"/>
  <c r="K29" i="7"/>
  <c r="E31" i="9"/>
  <c r="J29" i="7"/>
  <c r="D31" i="9"/>
  <c r="C31" i="9"/>
  <c r="BJ30" i="9"/>
  <c r="AU30" i="9"/>
  <c r="CB28" i="7"/>
  <c r="CC28" i="7"/>
  <c r="L30" i="9"/>
  <c r="Q28" i="7"/>
  <c r="K30" i="9"/>
  <c r="P28" i="7"/>
  <c r="J30" i="9"/>
  <c r="H30" i="9"/>
  <c r="M28" i="7"/>
  <c r="G30" i="9"/>
  <c r="L28" i="7"/>
  <c r="F30" i="9"/>
  <c r="K28" i="7"/>
  <c r="E30" i="9"/>
  <c r="J28" i="7"/>
  <c r="D30" i="9"/>
  <c r="C30" i="9"/>
  <c r="BJ26" i="9"/>
  <c r="L26" i="9"/>
  <c r="Q27" i="7"/>
  <c r="K26" i="9"/>
  <c r="P27" i="7"/>
  <c r="J26" i="9"/>
  <c r="O27" i="7"/>
  <c r="I26" i="9"/>
  <c r="N27" i="7"/>
  <c r="H26" i="9"/>
  <c r="M27" i="7"/>
  <c r="G26" i="9"/>
  <c r="L27" i="7"/>
  <c r="F26" i="9"/>
  <c r="K27" i="7"/>
  <c r="E26" i="9"/>
  <c r="J27" i="7"/>
  <c r="D26" i="9"/>
  <c r="C26" i="9"/>
  <c r="AU22" i="9"/>
  <c r="L22" i="9"/>
  <c r="K22" i="9"/>
  <c r="J22" i="9"/>
  <c r="H22" i="9"/>
  <c r="G22" i="9"/>
  <c r="F22" i="9"/>
  <c r="E22" i="9"/>
  <c r="D22" i="9"/>
  <c r="C22" i="9"/>
  <c r="L18" i="9"/>
  <c r="K18" i="9"/>
  <c r="J18" i="9"/>
  <c r="I18" i="9"/>
  <c r="H18" i="9"/>
  <c r="G18" i="9"/>
  <c r="F18" i="9"/>
  <c r="E18" i="9"/>
  <c r="D18" i="9"/>
  <c r="C18" i="9"/>
  <c r="L17" i="9"/>
  <c r="K17" i="9"/>
  <c r="J17" i="9"/>
  <c r="I17" i="9"/>
  <c r="H17" i="9"/>
  <c r="G17" i="9"/>
  <c r="F17" i="9"/>
  <c r="E17" i="9"/>
  <c r="D17" i="9"/>
  <c r="C17" i="9"/>
  <c r="A3" i="7"/>
  <c r="A3" i="9" s="1"/>
  <c r="A3" i="6"/>
  <c r="BE144" i="9"/>
  <c r="BD103" i="9"/>
  <c r="CO24" i="7"/>
  <c r="CO61" i="7"/>
  <c r="BC103" i="9"/>
  <c r="CN24" i="7"/>
  <c r="CN61" i="7"/>
  <c r="BB103" i="9"/>
  <c r="CM24" i="7"/>
  <c r="CM61" i="7"/>
  <c r="BA103" i="9"/>
  <c r="CL24" i="7"/>
  <c r="CL61" i="7"/>
  <c r="AZ103" i="9"/>
  <c r="CK24" i="7"/>
  <c r="CK61" i="7"/>
  <c r="AY103" i="9"/>
  <c r="CJ24" i="7"/>
  <c r="CJ61" i="7"/>
  <c r="AX103" i="9"/>
  <c r="CI24" i="7"/>
  <c r="CI61" i="7"/>
  <c r="AW103" i="9"/>
  <c r="CH24" i="7"/>
  <c r="CH61" i="7"/>
  <c r="AV103" i="9"/>
  <c r="CG24" i="7"/>
  <c r="CG61" i="7"/>
  <c r="AU103" i="9"/>
  <c r="CF24" i="7"/>
  <c r="CF61" i="7"/>
  <c r="AT103" i="9"/>
  <c r="CE24" i="7"/>
  <c r="CE61" i="7"/>
  <c r="AS103" i="9"/>
  <c r="CD24" i="7"/>
  <c r="CD61" i="7"/>
  <c r="AR103" i="9"/>
  <c r="CC24" i="7"/>
  <c r="CC61" i="7"/>
  <c r="AQ103" i="9"/>
  <c r="CB24" i="7"/>
  <c r="CB61" i="7"/>
  <c r="AP103" i="9"/>
  <c r="CA24" i="7"/>
  <c r="CA61" i="7"/>
  <c r="AO103" i="9"/>
  <c r="BZ24" i="7"/>
  <c r="BZ61" i="7"/>
  <c r="AN103" i="9"/>
  <c r="BY24" i="7"/>
  <c r="BY61" i="7"/>
  <c r="AM103" i="9"/>
  <c r="BX24" i="7"/>
  <c r="BX61" i="7"/>
  <c r="AL103" i="9"/>
  <c r="BW24" i="7"/>
  <c r="BW61" i="7"/>
  <c r="AK103" i="9"/>
  <c r="BV24" i="7"/>
  <c r="BV61" i="7"/>
  <c r="AJ103" i="9"/>
  <c r="BU24" i="7"/>
  <c r="BU61" i="7"/>
  <c r="AI103" i="9"/>
  <c r="BT24" i="7"/>
  <c r="BT61" i="7"/>
  <c r="AH103" i="9"/>
  <c r="BS24" i="7"/>
  <c r="BS61" i="7"/>
  <c r="AG103" i="9"/>
  <c r="BR24" i="7"/>
  <c r="BR61" i="7"/>
  <c r="AF103" i="9"/>
  <c r="BQ24" i="7"/>
  <c r="BQ61" i="7"/>
  <c r="AE103" i="9"/>
  <c r="BP24" i="7"/>
  <c r="BP61" i="7"/>
  <c r="AD103" i="9"/>
  <c r="BO24" i="7"/>
  <c r="BO61" i="7"/>
  <c r="AC103" i="9"/>
  <c r="BN24" i="7"/>
  <c r="BN61" i="7"/>
  <c r="AB103" i="9"/>
  <c r="BM24" i="7"/>
  <c r="BM61" i="7"/>
  <c r="AA103" i="9"/>
  <c r="BL24" i="7"/>
  <c r="BL61" i="7"/>
  <c r="Z103" i="9"/>
  <c r="BK24" i="7"/>
  <c r="BK61" i="7"/>
  <c r="Y103" i="9"/>
  <c r="BJ24" i="7"/>
  <c r="BJ61" i="7"/>
  <c r="X103" i="9"/>
  <c r="X144" i="9" s="1"/>
  <c r="BI24" i="7"/>
  <c r="BI61" i="7"/>
  <c r="AF24" i="7"/>
  <c r="AG24" i="7"/>
  <c r="H144" i="9"/>
  <c r="L153" i="9"/>
  <c r="K153" i="9"/>
  <c r="J153" i="9"/>
  <c r="I153" i="9"/>
  <c r="H153" i="9"/>
  <c r="G153" i="9"/>
  <c r="F153" i="9"/>
  <c r="E153" i="9"/>
  <c r="D153" i="9"/>
  <c r="C153" i="9"/>
  <c r="BE61" i="7"/>
  <c r="BD61" i="7"/>
  <c r="BC61" i="7"/>
  <c r="BB61" i="7"/>
  <c r="BA61" i="7"/>
  <c r="BH142" i="9"/>
  <c r="BG142" i="9"/>
  <c r="BF142" i="9"/>
  <c r="BE142" i="9"/>
  <c r="BD142" i="9"/>
  <c r="BC142" i="9"/>
  <c r="BB142" i="9"/>
  <c r="BA142" i="9"/>
  <c r="AZ142" i="9"/>
  <c r="AY142" i="9"/>
  <c r="AX142" i="9"/>
  <c r="AW142" i="9"/>
  <c r="AV142" i="9"/>
  <c r="AU142" i="9"/>
  <c r="AT142" i="9"/>
  <c r="AS142" i="9"/>
  <c r="AR142" i="9"/>
  <c r="AQ142" i="9"/>
  <c r="AP142" i="9"/>
  <c r="AO142" i="9"/>
  <c r="AN142" i="9"/>
  <c r="AM142" i="9"/>
  <c r="AL142" i="9"/>
  <c r="AK142" i="9"/>
  <c r="AJ142" i="9"/>
  <c r="AI142" i="9"/>
  <c r="AH142" i="9"/>
  <c r="AG142" i="9"/>
  <c r="AF142" i="9"/>
  <c r="AE142" i="9"/>
  <c r="AD142" i="9"/>
  <c r="AC142" i="9"/>
  <c r="AB142" i="9"/>
  <c r="AA142" i="9"/>
  <c r="Z142" i="9"/>
  <c r="Y142" i="9"/>
  <c r="X142" i="9"/>
  <c r="L142" i="9"/>
  <c r="K142" i="9"/>
  <c r="I142" i="9"/>
  <c r="H142" i="9"/>
  <c r="G142" i="9"/>
  <c r="F142" i="9"/>
  <c r="E142" i="9"/>
  <c r="D142" i="9"/>
  <c r="C142" i="9"/>
  <c r="BH111" i="9"/>
  <c r="BH60" i="9" s="1"/>
  <c r="BG111" i="9"/>
  <c r="BG60" i="9" s="1"/>
  <c r="CO44" i="7"/>
  <c r="CO86" i="7"/>
  <c r="BF111" i="9"/>
  <c r="BF60" i="9" s="1"/>
  <c r="CN44" i="7"/>
  <c r="CN86" i="7"/>
  <c r="BE111" i="9"/>
  <c r="BE60" i="9" s="1"/>
  <c r="CM44" i="7"/>
  <c r="CM86" i="7"/>
  <c r="BD111" i="9"/>
  <c r="BD60" i="9" s="1"/>
  <c r="CL44" i="7"/>
  <c r="CL86" i="7"/>
  <c r="BC111" i="9"/>
  <c r="BC60" i="9" s="1"/>
  <c r="CK44" i="7"/>
  <c r="CK86" i="7"/>
  <c r="BB111" i="9"/>
  <c r="BB60" i="9" s="1"/>
  <c r="CJ44" i="7"/>
  <c r="CJ86" i="7"/>
  <c r="BA111" i="9"/>
  <c r="BA60" i="9" s="1"/>
  <c r="CI44" i="7"/>
  <c r="CI86" i="7"/>
  <c r="AZ111" i="9"/>
  <c r="AZ60" i="9" s="1"/>
  <c r="CH44" i="7"/>
  <c r="CH86" i="7"/>
  <c r="AY111" i="9"/>
  <c r="CG44" i="7"/>
  <c r="CG86" i="7"/>
  <c r="AX111" i="9"/>
  <c r="CF44" i="7"/>
  <c r="CF86" i="7"/>
  <c r="AW111" i="9"/>
  <c r="AW60" i="9" s="1"/>
  <c r="CE44" i="7"/>
  <c r="CE86" i="7"/>
  <c r="AV111" i="9"/>
  <c r="AV60" i="9" s="1"/>
  <c r="CD44" i="7"/>
  <c r="CD86" i="7"/>
  <c r="AT111" i="9"/>
  <c r="AT60" i="9" s="1"/>
  <c r="CB44" i="7"/>
  <c r="CB86" i="7"/>
  <c r="AS111" i="9"/>
  <c r="AS60" i="9" s="1"/>
  <c r="CA44" i="7"/>
  <c r="CA86" i="7"/>
  <c r="AR111" i="9"/>
  <c r="AR60" i="9" s="1"/>
  <c r="BZ44" i="7"/>
  <c r="BZ86" i="7"/>
  <c r="AQ111" i="9"/>
  <c r="BY44" i="7"/>
  <c r="BY86" i="7"/>
  <c r="AP111" i="9"/>
  <c r="BX44" i="7"/>
  <c r="BX86" i="7"/>
  <c r="AO111" i="9"/>
  <c r="BW44" i="7"/>
  <c r="BW86" i="7"/>
  <c r="AN111" i="9"/>
  <c r="BV44" i="7"/>
  <c r="BV86" i="7"/>
  <c r="H111" i="9"/>
  <c r="G111" i="9"/>
  <c r="F111" i="9"/>
  <c r="E111" i="9"/>
  <c r="D111" i="9"/>
  <c r="C111" i="9"/>
  <c r="N86" i="7"/>
  <c r="M86" i="7"/>
  <c r="L86" i="7"/>
  <c r="K86" i="7"/>
  <c r="J86" i="7"/>
  <c r="BH109" i="9"/>
  <c r="BI110" i="9" s="1"/>
  <c r="BG109" i="9"/>
  <c r="BF109" i="9"/>
  <c r="BE109" i="9"/>
  <c r="BD109" i="9"/>
  <c r="BC109" i="9"/>
  <c r="BB109" i="9"/>
  <c r="BA109" i="9"/>
  <c r="AZ109" i="9"/>
  <c r="AY109" i="9"/>
  <c r="AX109" i="9"/>
  <c r="AW109" i="9"/>
  <c r="AV109" i="9"/>
  <c r="AU109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U99" i="9"/>
  <c r="CB60" i="7"/>
  <c r="N19" i="6"/>
  <c r="R24" i="5"/>
  <c r="T23" i="5"/>
  <c r="S23" i="5"/>
  <c r="S33" i="7" s="1"/>
  <c r="R23" i="5"/>
  <c r="R20" i="5"/>
  <c r="Q20" i="5"/>
  <c r="N20" i="5"/>
  <c r="N30" i="7" s="1"/>
  <c r="P19" i="5"/>
  <c r="O19" i="5"/>
  <c r="N18" i="5"/>
  <c r="R17" i="5"/>
  <c r="N14" i="5"/>
  <c r="Q109" i="6"/>
  <c r="P109" i="6"/>
  <c r="O109" i="6"/>
  <c r="N109" i="6"/>
  <c r="M109" i="6"/>
  <c r="L109" i="6"/>
  <c r="K109" i="6"/>
  <c r="J109" i="6"/>
  <c r="Q107" i="6"/>
  <c r="P107" i="6"/>
  <c r="O107" i="6"/>
  <c r="M107" i="6"/>
  <c r="L107" i="6"/>
  <c r="K107" i="6"/>
  <c r="J107" i="6"/>
  <c r="CO106" i="6"/>
  <c r="CN106" i="6"/>
  <c r="CM106" i="6"/>
  <c r="CL106" i="6"/>
  <c r="CK106" i="6"/>
  <c r="CJ106" i="6"/>
  <c r="CI106" i="6"/>
  <c r="CH106" i="6"/>
  <c r="CG106" i="6"/>
  <c r="CF106" i="6"/>
  <c r="CE106" i="6"/>
  <c r="CD106" i="6"/>
  <c r="CA106" i="6"/>
  <c r="BZ106" i="6"/>
  <c r="BY106" i="6"/>
  <c r="CN103" i="6"/>
  <c r="CM103" i="6"/>
  <c r="CL103" i="6"/>
  <c r="CK103" i="6"/>
  <c r="CJ103" i="6"/>
  <c r="CI103" i="6"/>
  <c r="CH103" i="6"/>
  <c r="CG103" i="6"/>
  <c r="CC103" i="6"/>
  <c r="CB103" i="6"/>
  <c r="CA103" i="6"/>
  <c r="BZ103" i="6"/>
  <c r="BY103" i="6"/>
  <c r="M103" i="6"/>
  <c r="L103" i="6"/>
  <c r="K103" i="6"/>
  <c r="J103" i="6"/>
  <c r="R100" i="6"/>
  <c r="Q100" i="6"/>
  <c r="P100" i="6"/>
  <c r="O100" i="6"/>
  <c r="N100" i="6"/>
  <c r="M100" i="6"/>
  <c r="M99" i="6" s="1"/>
  <c r="L100" i="6"/>
  <c r="L99" i="6" s="1"/>
  <c r="K100" i="6"/>
  <c r="J100" i="6"/>
  <c r="Q95" i="6"/>
  <c r="P95" i="6"/>
  <c r="O95" i="6"/>
  <c r="N95" i="6"/>
  <c r="M95" i="6"/>
  <c r="L95" i="6"/>
  <c r="M91" i="6" s="1"/>
  <c r="K95" i="6"/>
  <c r="J95" i="6"/>
  <c r="I95" i="6"/>
  <c r="H95" i="6"/>
  <c r="G95" i="6"/>
  <c r="F95" i="6"/>
  <c r="E95" i="6"/>
  <c r="D95" i="6"/>
  <c r="C95" i="6"/>
  <c r="B95" i="6"/>
  <c r="CO94" i="6"/>
  <c r="CN94" i="6"/>
  <c r="CM94" i="6"/>
  <c r="CL94" i="6"/>
  <c r="CK94" i="6"/>
  <c r="CJ94" i="6"/>
  <c r="CI94" i="6"/>
  <c r="CH94" i="6"/>
  <c r="CG94" i="6"/>
  <c r="CF94" i="6"/>
  <c r="CE94" i="6"/>
  <c r="CD94" i="6"/>
  <c r="CC94" i="6"/>
  <c r="CB94" i="6"/>
  <c r="CA94" i="6"/>
  <c r="BZ94" i="6"/>
  <c r="BY94" i="6"/>
  <c r="M94" i="6"/>
  <c r="L94" i="6"/>
  <c r="K94" i="6"/>
  <c r="J94" i="6"/>
  <c r="I94" i="6"/>
  <c r="H94" i="6"/>
  <c r="Q88" i="6"/>
  <c r="P88" i="6"/>
  <c r="O88" i="6"/>
  <c r="N88" i="6"/>
  <c r="M88" i="6"/>
  <c r="K88" i="6"/>
  <c r="J88" i="6"/>
  <c r="I88" i="6"/>
  <c r="H88" i="6"/>
  <c r="G88" i="6"/>
  <c r="F88" i="6"/>
  <c r="E88" i="6"/>
  <c r="D88" i="6"/>
  <c r="C88" i="6"/>
  <c r="B88" i="6"/>
  <c r="H87" i="6"/>
  <c r="M84" i="6"/>
  <c r="BH24" i="7"/>
  <c r="BG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Q80" i="6"/>
  <c r="L103" i="9" s="1"/>
  <c r="P80" i="6"/>
  <c r="K103" i="9" s="1"/>
  <c r="O80" i="6"/>
  <c r="J103" i="9" s="1"/>
  <c r="N80" i="6"/>
  <c r="L80" i="6"/>
  <c r="G103" i="9" s="1"/>
  <c r="K80" i="6"/>
  <c r="F103" i="9" s="1"/>
  <c r="J80" i="6"/>
  <c r="E103" i="9" s="1"/>
  <c r="I80" i="6"/>
  <c r="H80" i="6"/>
  <c r="G80" i="6"/>
  <c r="F80" i="6"/>
  <c r="E80" i="6"/>
  <c r="D80" i="6"/>
  <c r="C80" i="6"/>
  <c r="B80" i="6"/>
  <c r="AC79" i="6"/>
  <c r="BF24" i="7"/>
  <c r="I76" i="6"/>
  <c r="CB75" i="6"/>
  <c r="CB77" i="6" s="1"/>
  <c r="M75" i="6"/>
  <c r="M77" i="6" s="1"/>
  <c r="CO74" i="6"/>
  <c r="CO79" i="6" s="1"/>
  <c r="CN74" i="6"/>
  <c r="Q74" i="6" s="1"/>
  <c r="CM74" i="6"/>
  <c r="CM79" i="6" s="1"/>
  <c r="CL74" i="6"/>
  <c r="CL79" i="6" s="1"/>
  <c r="CK74" i="6"/>
  <c r="CK79" i="6" s="1"/>
  <c r="CJ74" i="6"/>
  <c r="P74" i="6" s="1"/>
  <c r="CI74" i="6"/>
  <c r="CI79" i="6" s="1"/>
  <c r="CH74" i="6"/>
  <c r="CH79" i="6" s="1"/>
  <c r="CG74" i="6"/>
  <c r="CG79" i="6" s="1"/>
  <c r="CF74" i="6"/>
  <c r="O74" i="6" s="1"/>
  <c r="CE74" i="6"/>
  <c r="CE79" i="6" s="1"/>
  <c r="CD74" i="6"/>
  <c r="CD79" i="6" s="1"/>
  <c r="CC74" i="6"/>
  <c r="CC79" i="6" s="1"/>
  <c r="CB74" i="6"/>
  <c r="N74" i="6" s="1"/>
  <c r="CA74" i="6"/>
  <c r="CA79" i="6" s="1"/>
  <c r="BZ74" i="6"/>
  <c r="BZ79" i="6" s="1"/>
  <c r="BY74" i="6"/>
  <c r="BY79" i="6" s="1"/>
  <c r="M74" i="6"/>
  <c r="L74" i="6"/>
  <c r="K74" i="6"/>
  <c r="J74" i="6"/>
  <c r="I74" i="6"/>
  <c r="H74" i="6"/>
  <c r="G74" i="6"/>
  <c r="F74" i="6"/>
  <c r="E74" i="6"/>
  <c r="D74" i="6"/>
  <c r="C74" i="6"/>
  <c r="B74" i="6"/>
  <c r="CC66" i="6"/>
  <c r="Q58" i="6"/>
  <c r="P58" i="6"/>
  <c r="O58" i="6"/>
  <c r="Q82" i="7"/>
  <c r="P82" i="7"/>
  <c r="O82" i="7"/>
  <c r="N82" i="7"/>
  <c r="M82" i="7"/>
  <c r="L82" i="7"/>
  <c r="K82" i="7"/>
  <c r="J82" i="7"/>
  <c r="Q81" i="7"/>
  <c r="P81" i="7"/>
  <c r="O81" i="7"/>
  <c r="N81" i="7"/>
  <c r="M81" i="7"/>
  <c r="L81" i="7"/>
  <c r="K81" i="7"/>
  <c r="J81" i="7"/>
  <c r="Q65" i="7"/>
  <c r="P65" i="7"/>
  <c r="O65" i="7"/>
  <c r="N65" i="7"/>
  <c r="M65" i="7"/>
  <c r="L65" i="7"/>
  <c r="K65" i="7"/>
  <c r="J65" i="7"/>
  <c r="AD109" i="9"/>
  <c r="AC109" i="9"/>
  <c r="AB109" i="9"/>
  <c r="AA109" i="9"/>
  <c r="Z109" i="9"/>
  <c r="Y109" i="9"/>
  <c r="X109" i="9"/>
  <c r="J109" i="9"/>
  <c r="BH107" i="9"/>
  <c r="BI108" i="9" s="1"/>
  <c r="BG107" i="9"/>
  <c r="BF107" i="9"/>
  <c r="BE107" i="9"/>
  <c r="BD107" i="9"/>
  <c r="BC107" i="9"/>
  <c r="BB107" i="9"/>
  <c r="BA107" i="9"/>
  <c r="AZ107" i="9"/>
  <c r="AY107" i="9"/>
  <c r="AX107" i="9"/>
  <c r="AW107" i="9"/>
  <c r="AV107" i="9"/>
  <c r="AU107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E107" i="9"/>
  <c r="AD107" i="9"/>
  <c r="AC107" i="9"/>
  <c r="AB107" i="9"/>
  <c r="AA107" i="9"/>
  <c r="Z107" i="9"/>
  <c r="Y107" i="9"/>
  <c r="X107" i="9"/>
  <c r="X121" i="9" s="1"/>
  <c r="J107" i="9"/>
  <c r="G107" i="9"/>
  <c r="F107" i="9"/>
  <c r="E107" i="9"/>
  <c r="D107" i="9"/>
  <c r="C107" i="9"/>
  <c r="BH122" i="9"/>
  <c r="BG97" i="9"/>
  <c r="BG122" i="9"/>
  <c r="BF122" i="9"/>
  <c r="BE97" i="9"/>
  <c r="BE122" i="9"/>
  <c r="BD97" i="9"/>
  <c r="BC97" i="9"/>
  <c r="BC122" i="9"/>
  <c r="BA97" i="9"/>
  <c r="BA122" i="9"/>
  <c r="AZ122" i="9"/>
  <c r="AY97" i="9"/>
  <c r="AY122" i="9"/>
  <c r="AX122" i="9"/>
  <c r="AW97" i="9"/>
  <c r="AW122" i="9"/>
  <c r="AV97" i="9"/>
  <c r="AT97" i="9"/>
  <c r="AT122" i="9"/>
  <c r="AS97" i="9"/>
  <c r="AS122" i="9"/>
  <c r="AR97" i="9"/>
  <c r="AR122" i="9"/>
  <c r="AQ97" i="9"/>
  <c r="AQ122" i="9"/>
  <c r="AP97" i="9"/>
  <c r="AP122" i="9"/>
  <c r="AO97" i="9"/>
  <c r="AO122" i="9"/>
  <c r="AN97" i="9"/>
  <c r="AN122" i="9"/>
  <c r="AM97" i="9"/>
  <c r="AM122" i="9"/>
  <c r="AL97" i="9"/>
  <c r="AL122" i="9"/>
  <c r="AK97" i="9"/>
  <c r="AK122" i="9"/>
  <c r="AJ97" i="9"/>
  <c r="AJ122" i="9"/>
  <c r="AI97" i="9"/>
  <c r="AI122" i="9"/>
  <c r="AH97" i="9"/>
  <c r="AH122" i="9"/>
  <c r="AG97" i="9"/>
  <c r="AG122" i="9"/>
  <c r="AF97" i="9"/>
  <c r="AF122" i="9"/>
  <c r="AE97" i="9"/>
  <c r="AE122" i="9"/>
  <c r="AD97" i="9"/>
  <c r="AD122" i="9"/>
  <c r="AC97" i="9"/>
  <c r="AC122" i="9"/>
  <c r="AB97" i="9"/>
  <c r="AB122" i="9"/>
  <c r="AA97" i="9"/>
  <c r="AA122" i="9"/>
  <c r="Z97" i="9"/>
  <c r="Z122" i="9"/>
  <c r="Y97" i="9"/>
  <c r="Y122" i="9"/>
  <c r="X97" i="9"/>
  <c r="X122" i="9"/>
  <c r="AT99" i="9"/>
  <c r="AS99" i="9"/>
  <c r="AR99" i="9"/>
  <c r="L99" i="9"/>
  <c r="K99" i="9"/>
  <c r="J99" i="9"/>
  <c r="H99" i="9"/>
  <c r="G99" i="9"/>
  <c r="F99" i="9"/>
  <c r="E99" i="9"/>
  <c r="D99" i="9"/>
  <c r="C99" i="9"/>
  <c r="S15" i="9"/>
  <c r="S53" i="9"/>
  <c r="S67" i="9"/>
  <c r="S82" i="9" s="1"/>
  <c r="S96" i="9" s="1"/>
  <c r="S118" i="9" s="1"/>
  <c r="S126" i="9" s="1"/>
  <c r="S140" i="9" s="1"/>
  <c r="S90" i="9" s="1"/>
  <c r="R15" i="9"/>
  <c r="R53" i="9"/>
  <c r="R67" i="9"/>
  <c r="R82" i="9" s="1"/>
  <c r="R96" i="9" s="1"/>
  <c r="R118" i="9" s="1"/>
  <c r="R126" i="9" s="1"/>
  <c r="R140" i="9" s="1"/>
  <c r="R90" i="9" s="1"/>
  <c r="Q15" i="9"/>
  <c r="Q53" i="9"/>
  <c r="Q67" i="9"/>
  <c r="Q82" i="9" s="1"/>
  <c r="Q96" i="9" s="1"/>
  <c r="Q118" i="9" s="1"/>
  <c r="Q126" i="9" s="1"/>
  <c r="Q140" i="9" s="1"/>
  <c r="Q90" i="9" s="1"/>
  <c r="P15" i="9"/>
  <c r="P53" i="9"/>
  <c r="P67" i="9"/>
  <c r="P82" i="9" s="1"/>
  <c r="P96" i="9" s="1"/>
  <c r="P118" i="9" s="1"/>
  <c r="P126" i="9" s="1"/>
  <c r="P140" i="9" s="1"/>
  <c r="P90" i="9" s="1"/>
  <c r="N15" i="9"/>
  <c r="N53" i="9"/>
  <c r="N67" i="9"/>
  <c r="N82" i="9" s="1"/>
  <c r="N96" i="9" s="1"/>
  <c r="N118" i="9" s="1"/>
  <c r="N126" i="9" s="1"/>
  <c r="N140" i="9" s="1"/>
  <c r="N90" i="9" s="1"/>
  <c r="M15" i="9"/>
  <c r="M53" i="9"/>
  <c r="M67" i="9"/>
  <c r="M82" i="9" s="1"/>
  <c r="M96" i="9" s="1"/>
  <c r="M118" i="9" s="1"/>
  <c r="M126" i="9" s="1"/>
  <c r="M140" i="9" s="1"/>
  <c r="M90" i="9" s="1"/>
  <c r="L15" i="9"/>
  <c r="L53" i="9"/>
  <c r="L67" i="9"/>
  <c r="L82" i="9" s="1"/>
  <c r="L96" i="9" s="1"/>
  <c r="L118" i="9" s="1"/>
  <c r="L126" i="9" s="1"/>
  <c r="L140" i="9" s="1"/>
  <c r="L90" i="9" s="1"/>
  <c r="K15" i="9"/>
  <c r="K53" i="9"/>
  <c r="K67" i="9"/>
  <c r="K82" i="9" s="1"/>
  <c r="K96" i="9" s="1"/>
  <c r="K118" i="9" s="1"/>
  <c r="K126" i="9" s="1"/>
  <c r="K140" i="9" s="1"/>
  <c r="K90" i="9" s="1"/>
  <c r="J15" i="9"/>
  <c r="J53" i="9"/>
  <c r="J67" i="9"/>
  <c r="J82" i="9" s="1"/>
  <c r="J96" i="9" s="1"/>
  <c r="J118" i="9" s="1"/>
  <c r="J126" i="9" s="1"/>
  <c r="J140" i="9" s="1"/>
  <c r="J90" i="9" s="1"/>
  <c r="I15" i="9"/>
  <c r="I53" i="9"/>
  <c r="I67" i="9"/>
  <c r="I82" i="9" s="1"/>
  <c r="I96" i="9" s="1"/>
  <c r="I118" i="9" s="1"/>
  <c r="I126" i="9" s="1"/>
  <c r="I140" i="9" s="1"/>
  <c r="I90" i="9" s="1"/>
  <c r="H15" i="9"/>
  <c r="H53" i="9"/>
  <c r="H67" i="9"/>
  <c r="H82" i="9" s="1"/>
  <c r="H96" i="9" s="1"/>
  <c r="H118" i="9" s="1"/>
  <c r="H126" i="9" s="1"/>
  <c r="H140" i="9" s="1"/>
  <c r="H90" i="9" s="1"/>
  <c r="G15" i="9"/>
  <c r="G53" i="9"/>
  <c r="G67" i="9"/>
  <c r="G82" i="9" s="1"/>
  <c r="G96" i="9" s="1"/>
  <c r="G118" i="9" s="1"/>
  <c r="G126" i="9" s="1"/>
  <c r="G140" i="9" s="1"/>
  <c r="G90" i="9" s="1"/>
  <c r="F15" i="9"/>
  <c r="F53" i="9"/>
  <c r="F67" i="9"/>
  <c r="F82" i="9" s="1"/>
  <c r="F96" i="9" s="1"/>
  <c r="F118" i="9" s="1"/>
  <c r="F126" i="9" s="1"/>
  <c r="F140" i="9" s="1"/>
  <c r="F90" i="9" s="1"/>
  <c r="E15" i="9"/>
  <c r="E53" i="9"/>
  <c r="E67" i="9"/>
  <c r="E82" i="9" s="1"/>
  <c r="E96" i="9" s="1"/>
  <c r="E118" i="9" s="1"/>
  <c r="E126" i="9" s="1"/>
  <c r="E140" i="9" s="1"/>
  <c r="E90" i="9" s="1"/>
  <c r="D15" i="9"/>
  <c r="D53" i="9"/>
  <c r="D67" i="9"/>
  <c r="D82" i="9" s="1"/>
  <c r="D96" i="9" s="1"/>
  <c r="D118" i="9" s="1"/>
  <c r="D126" i="9" s="1"/>
  <c r="D140" i="9" s="1"/>
  <c r="D90" i="9" s="1"/>
  <c r="C15" i="9"/>
  <c r="C53" i="9"/>
  <c r="C67" i="9"/>
  <c r="C82" i="9" s="1"/>
  <c r="C96" i="9" s="1"/>
  <c r="C118" i="9" s="1"/>
  <c r="C126" i="9" s="1"/>
  <c r="C140" i="9" s="1"/>
  <c r="C90" i="9" s="1"/>
  <c r="B15" i="9"/>
  <c r="B53" i="9"/>
  <c r="B67" i="9"/>
  <c r="B82" i="9" s="1"/>
  <c r="B96" i="9" s="1"/>
  <c r="B118" i="9" s="1"/>
  <c r="B126" i="9" s="1"/>
  <c r="B140" i="9" s="1"/>
  <c r="B90" i="9" s="1"/>
  <c r="D159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Q29" i="6"/>
  <c r="N29" i="6"/>
  <c r="N20" i="6"/>
  <c r="L105" i="9"/>
  <c r="K105" i="9"/>
  <c r="J105" i="9"/>
  <c r="I105" i="9"/>
  <c r="H105" i="9"/>
  <c r="G105" i="9"/>
  <c r="F105" i="9"/>
  <c r="E105" i="9"/>
  <c r="D105" i="9"/>
  <c r="C105" i="9"/>
  <c r="Q85" i="7"/>
  <c r="P85" i="7"/>
  <c r="O85" i="7"/>
  <c r="N85" i="7"/>
  <c r="M85" i="7"/>
  <c r="L85" i="7"/>
  <c r="K85" i="7"/>
  <c r="J85" i="7"/>
  <c r="Q80" i="7"/>
  <c r="P80" i="7"/>
  <c r="O80" i="7"/>
  <c r="N80" i="7"/>
  <c r="M80" i="7"/>
  <c r="L80" i="7"/>
  <c r="K80" i="7"/>
  <c r="J80" i="7"/>
  <c r="Q77" i="7"/>
  <c r="P77" i="7"/>
  <c r="O77" i="7"/>
  <c r="N77" i="7"/>
  <c r="M77" i="7"/>
  <c r="L77" i="7"/>
  <c r="K77" i="7"/>
  <c r="J77" i="7"/>
  <c r="Q76" i="7"/>
  <c r="P76" i="7"/>
  <c r="O76" i="7"/>
  <c r="N76" i="7"/>
  <c r="M76" i="7"/>
  <c r="L76" i="7"/>
  <c r="K76" i="7"/>
  <c r="J76" i="7"/>
  <c r="Q75" i="7"/>
  <c r="P75" i="7"/>
  <c r="O75" i="7"/>
  <c r="N75" i="7"/>
  <c r="M75" i="7"/>
  <c r="L75" i="7"/>
  <c r="K75" i="7"/>
  <c r="J75" i="7"/>
  <c r="Q74" i="7"/>
  <c r="P74" i="7"/>
  <c r="O74" i="7"/>
  <c r="N74" i="7"/>
  <c r="M74" i="7"/>
  <c r="L74" i="7"/>
  <c r="K74" i="7"/>
  <c r="J74" i="7"/>
  <c r="Q73" i="7"/>
  <c r="P73" i="7"/>
  <c r="O73" i="7"/>
  <c r="N73" i="7"/>
  <c r="M73" i="7"/>
  <c r="L73" i="7"/>
  <c r="K73" i="7"/>
  <c r="J73" i="7"/>
  <c r="CO72" i="7"/>
  <c r="CN72" i="7"/>
  <c r="CM72" i="7"/>
  <c r="CL72" i="7"/>
  <c r="CK72" i="7"/>
  <c r="CJ72" i="7"/>
  <c r="CI72" i="7"/>
  <c r="CH72" i="7"/>
  <c r="CG72" i="7"/>
  <c r="CF72" i="7"/>
  <c r="CE72" i="7"/>
  <c r="CD72" i="7"/>
  <c r="CC72" i="7"/>
  <c r="CB72" i="7"/>
  <c r="CA72" i="7"/>
  <c r="BZ72" i="7"/>
  <c r="BY72" i="7"/>
  <c r="BX72" i="7"/>
  <c r="BW72" i="7"/>
  <c r="BV72" i="7"/>
  <c r="BU72" i="7"/>
  <c r="BT72" i="7"/>
  <c r="BS72" i="7"/>
  <c r="BR72" i="7"/>
  <c r="BQ72" i="7"/>
  <c r="BP72" i="7"/>
  <c r="BO72" i="7"/>
  <c r="BN72" i="7"/>
  <c r="BM72" i="7"/>
  <c r="BL72" i="7"/>
  <c r="BK72" i="7"/>
  <c r="BJ72" i="7"/>
  <c r="BI72" i="7"/>
  <c r="BH72" i="7"/>
  <c r="BG72" i="7"/>
  <c r="BF72" i="7"/>
  <c r="BE72" i="7"/>
  <c r="BD72" i="7"/>
  <c r="BC72" i="7"/>
  <c r="BB72" i="7"/>
  <c r="BA72" i="7"/>
  <c r="L72" i="7"/>
  <c r="K72" i="7"/>
  <c r="CO69" i="7"/>
  <c r="CC69" i="7"/>
  <c r="Q68" i="7"/>
  <c r="P68" i="7"/>
  <c r="O68" i="7"/>
  <c r="N68" i="7"/>
  <c r="M68" i="7"/>
  <c r="L68" i="7"/>
  <c r="K68" i="7"/>
  <c r="J68" i="7"/>
  <c r="CA60" i="7"/>
  <c r="BZ60" i="7"/>
  <c r="BY60" i="7"/>
  <c r="Q59" i="7"/>
  <c r="P59" i="7"/>
  <c r="O59" i="7"/>
  <c r="N59" i="7"/>
  <c r="M59" i="7"/>
  <c r="L59" i="7"/>
  <c r="K59" i="7"/>
  <c r="J59" i="7"/>
  <c r="Q56" i="7"/>
  <c r="P56" i="7"/>
  <c r="O56" i="7"/>
  <c r="N56" i="7"/>
  <c r="M56" i="7"/>
  <c r="L56" i="7"/>
  <c r="K56" i="7"/>
  <c r="J56" i="7"/>
  <c r="Q55" i="7"/>
  <c r="P55" i="7"/>
  <c r="O55" i="7"/>
  <c r="N55" i="7"/>
  <c r="M55" i="7"/>
  <c r="L55" i="7"/>
  <c r="K55" i="7"/>
  <c r="J55" i="7"/>
  <c r="Q54" i="7"/>
  <c r="P54" i="7"/>
  <c r="O54" i="7"/>
  <c r="N54" i="7"/>
  <c r="M54" i="7"/>
  <c r="L54" i="7"/>
  <c r="K54" i="7"/>
  <c r="J54" i="7"/>
  <c r="Q53" i="7"/>
  <c r="P53" i="7"/>
  <c r="O53" i="7"/>
  <c r="N53" i="7"/>
  <c r="M53" i="7"/>
  <c r="L53" i="7"/>
  <c r="K53" i="7"/>
  <c r="J53" i="7"/>
  <c r="CO52" i="7"/>
  <c r="CN52" i="7"/>
  <c r="CM52" i="7"/>
  <c r="CL52" i="7"/>
  <c r="CK52" i="7"/>
  <c r="CJ52" i="7"/>
  <c r="CH52" i="7"/>
  <c r="CG52" i="7"/>
  <c r="CF52" i="7"/>
  <c r="CE52" i="7"/>
  <c r="CD52" i="7"/>
  <c r="CC52" i="7"/>
  <c r="CA52" i="7"/>
  <c r="BZ52" i="7"/>
  <c r="BY52" i="7"/>
  <c r="BX52" i="7"/>
  <c r="BW52" i="7"/>
  <c r="BV52" i="7"/>
  <c r="BU52" i="7"/>
  <c r="BT52" i="7"/>
  <c r="BS52" i="7"/>
  <c r="BR52" i="7"/>
  <c r="BQ52" i="7"/>
  <c r="BP52" i="7"/>
  <c r="BO52" i="7"/>
  <c r="BN52" i="7"/>
  <c r="BM52" i="7"/>
  <c r="BL52" i="7"/>
  <c r="BK52" i="7"/>
  <c r="BJ52" i="7"/>
  <c r="BI52" i="7"/>
  <c r="BH52" i="7"/>
  <c r="BG52" i="7"/>
  <c r="BF52" i="7"/>
  <c r="BE52" i="7"/>
  <c r="BD52" i="7"/>
  <c r="BC52" i="7"/>
  <c r="BB52" i="7"/>
  <c r="BA52" i="7"/>
  <c r="CK41" i="7"/>
  <c r="CH41" i="7"/>
  <c r="CE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CN39" i="7"/>
  <c r="CK39" i="7"/>
  <c r="CH39" i="7"/>
  <c r="CF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CM38" i="7"/>
  <c r="CK38" i="7"/>
  <c r="CH38" i="7"/>
  <c r="CE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X10" i="10"/>
  <c r="X12" i="10" s="1"/>
  <c r="X19" i="10" s="1"/>
  <c r="H127" i="9" l="1"/>
  <c r="J99" i="6"/>
  <c r="G114" i="9"/>
  <c r="AN114" i="9"/>
  <c r="H129" i="9"/>
  <c r="BE134" i="9"/>
  <c r="AR102" i="9"/>
  <c r="CE58" i="5"/>
  <c r="CE21" i="7" s="1"/>
  <c r="CE59" i="5" s="1"/>
  <c r="CC68" i="5"/>
  <c r="CC69" i="5" s="1"/>
  <c r="E71" i="6"/>
  <c r="K99" i="6"/>
  <c r="AX113" i="9"/>
  <c r="BF136" i="9"/>
  <c r="BC114" i="9"/>
  <c r="BB136" i="9"/>
  <c r="Z134" i="9"/>
  <c r="CI41" i="7"/>
  <c r="E129" i="9"/>
  <c r="CG68" i="5"/>
  <c r="CG69" i="5" s="1"/>
  <c r="AJ134" i="9"/>
  <c r="AK138" i="9"/>
  <c r="BB122" i="9"/>
  <c r="K107" i="9"/>
  <c r="AL127" i="9"/>
  <c r="AM128" i="9" s="1"/>
  <c r="AJ138" i="9"/>
  <c r="AG129" i="9"/>
  <c r="CI38" i="7"/>
  <c r="CJ39" i="7"/>
  <c r="AK134" i="9"/>
  <c r="CO71" i="6"/>
  <c r="AE136" i="9"/>
  <c r="AL134" i="9"/>
  <c r="CI52" i="7"/>
  <c r="AM127" i="9"/>
  <c r="AC61" i="9"/>
  <c r="AM134" i="9"/>
  <c r="AX79" i="9"/>
  <c r="AS136" i="9"/>
  <c r="BG136" i="9"/>
  <c r="AX116" i="9"/>
  <c r="AX129" i="9"/>
  <c r="O72" i="7"/>
  <c r="Y127" i="9"/>
  <c r="AY134" i="9"/>
  <c r="E122" i="9"/>
  <c r="AF116" i="9"/>
  <c r="M48" i="6"/>
  <c r="H109" i="9" s="1"/>
  <c r="AO129" i="9"/>
  <c r="AO130" i="9" s="1"/>
  <c r="BC136" i="9"/>
  <c r="AG116" i="9"/>
  <c r="CJ58" i="5"/>
  <c r="AZ134" i="9"/>
  <c r="CO68" i="5"/>
  <c r="CO69" i="5" s="1"/>
  <c r="AF138" i="9"/>
  <c r="D127" i="9"/>
  <c r="BD134" i="9"/>
  <c r="Z136" i="9"/>
  <c r="AG134" i="9"/>
  <c r="BI136" i="9"/>
  <c r="AQ116" i="9"/>
  <c r="F116" i="9"/>
  <c r="H107" i="9"/>
  <c r="H108" i="9" s="1"/>
  <c r="AD61" i="7"/>
  <c r="CE68" i="5"/>
  <c r="CE69" i="5" s="1"/>
  <c r="BH134" i="9"/>
  <c r="AF134" i="9"/>
  <c r="CD68" i="5"/>
  <c r="Y129" i="9"/>
  <c r="Y72" i="9" s="1"/>
  <c r="Y83" i="9"/>
  <c r="Q98" i="6"/>
  <c r="AU127" i="9"/>
  <c r="AT114" i="9"/>
  <c r="X22" i="10"/>
  <c r="X24" i="10" s="1"/>
  <c r="S81" i="7"/>
  <c r="Z114" i="9"/>
  <c r="AD114" i="9"/>
  <c r="AH114" i="9"/>
  <c r="AL114" i="9"/>
  <c r="BB114" i="9"/>
  <c r="BF114" i="9"/>
  <c r="E116" i="9"/>
  <c r="AC129" i="9"/>
  <c r="AF129" i="9"/>
  <c r="AN129" i="9"/>
  <c r="AQ129" i="9"/>
  <c r="AT129" i="9"/>
  <c r="AT72" i="9" s="1"/>
  <c r="N98" i="6"/>
  <c r="N99" i="6" s="1"/>
  <c r="CA58" i="5"/>
  <c r="CI58" i="5"/>
  <c r="BA127" i="9"/>
  <c r="BA71" i="9" s="1"/>
  <c r="AU115" i="9"/>
  <c r="AU116" i="9" s="1"/>
  <c r="AS114" i="9"/>
  <c r="CH58" i="5"/>
  <c r="BI63" i="9"/>
  <c r="Y54" i="6"/>
  <c r="DU54" i="6"/>
  <c r="DV54" i="6" s="1"/>
  <c r="DW54" i="6" s="1"/>
  <c r="DX54" i="6" s="1"/>
  <c r="Z54" i="6" s="1"/>
  <c r="Y56" i="6"/>
  <c r="DU56" i="6"/>
  <c r="DV56" i="6" s="1"/>
  <c r="DW56" i="6" s="1"/>
  <c r="DX56" i="6" s="1"/>
  <c r="Z56" i="6" s="1"/>
  <c r="D128" i="9"/>
  <c r="K52" i="7"/>
  <c r="M52" i="7"/>
  <c r="J72" i="7"/>
  <c r="N72" i="7"/>
  <c r="F122" i="9"/>
  <c r="H122" i="9"/>
  <c r="E97" i="9"/>
  <c r="E120" i="9" s="1"/>
  <c r="L107" i="9"/>
  <c r="Q99" i="6"/>
  <c r="BG104" i="9"/>
  <c r="BZ99" i="6"/>
  <c r="AR114" i="9"/>
  <c r="AZ114" i="9"/>
  <c r="BF129" i="9"/>
  <c r="H31" i="6"/>
  <c r="L31" i="6"/>
  <c r="M38" i="7" s="1"/>
  <c r="K71" i="6"/>
  <c r="K61" i="7" s="1"/>
  <c r="O69" i="6"/>
  <c r="P71" i="6" s="1"/>
  <c r="P61" i="7" s="1"/>
  <c r="BY58" i="5"/>
  <c r="BY59" i="5" s="1"/>
  <c r="BZ58" i="5"/>
  <c r="BC115" i="9"/>
  <c r="BC129" i="9" s="1"/>
  <c r="N103" i="6"/>
  <c r="BB47" i="7"/>
  <c r="CL41" i="7"/>
  <c r="AW127" i="9"/>
  <c r="AW114" i="9"/>
  <c r="CH21" i="7"/>
  <c r="CH59" i="5" s="1"/>
  <c r="BE127" i="9"/>
  <c r="BE71" i="9" s="1"/>
  <c r="BE114" i="9"/>
  <c r="CD38" i="7"/>
  <c r="CG38" i="7"/>
  <c r="CL38" i="7"/>
  <c r="CO38" i="7"/>
  <c r="CD39" i="7"/>
  <c r="CG39" i="7"/>
  <c r="CL39" i="7"/>
  <c r="CO39" i="7"/>
  <c r="CD41" i="7"/>
  <c r="CG41" i="7"/>
  <c r="J52" i="7"/>
  <c r="BD122" i="9"/>
  <c r="BH97" i="9"/>
  <c r="K39" i="7"/>
  <c r="K41" i="7"/>
  <c r="BD114" i="9"/>
  <c r="P98" i="6"/>
  <c r="P99" i="6" s="1"/>
  <c r="CJ99" i="6"/>
  <c r="BY21" i="7"/>
  <c r="CM21" i="7"/>
  <c r="CM59" i="5" s="1"/>
  <c r="AY60" i="9"/>
  <c r="BF104" i="9"/>
  <c r="BH104" i="9"/>
  <c r="L38" i="7"/>
  <c r="AU114" i="9"/>
  <c r="AY114" i="9"/>
  <c r="BA114" i="9"/>
  <c r="BG114" i="9"/>
  <c r="AS129" i="9"/>
  <c r="AS72" i="9" s="1"/>
  <c r="AU129" i="9"/>
  <c r="AW129" i="9"/>
  <c r="AW72" i="9" s="1"/>
  <c r="BA129" i="9"/>
  <c r="BE129" i="9"/>
  <c r="BA134" i="9"/>
  <c r="O31" i="6"/>
  <c r="Q71" i="6"/>
  <c r="Q61" i="7" s="1"/>
  <c r="CG58" i="5"/>
  <c r="CK58" i="5"/>
  <c r="AY115" i="9"/>
  <c r="BG115" i="9"/>
  <c r="CI68" i="5"/>
  <c r="CM68" i="5"/>
  <c r="CM22" i="7" s="1"/>
  <c r="AH136" i="9"/>
  <c r="AL136" i="9"/>
  <c r="AP136" i="9"/>
  <c r="I31" i="6"/>
  <c r="AZ79" i="9"/>
  <c r="CP71" i="6"/>
  <c r="AT136" i="9"/>
  <c r="AZ136" i="9"/>
  <c r="BD136" i="9"/>
  <c r="BH136" i="9"/>
  <c r="CB58" i="5"/>
  <c r="CB59" i="5" s="1"/>
  <c r="CN58" i="5"/>
  <c r="BB134" i="9"/>
  <c r="AW136" i="9"/>
  <c r="Q31" i="6"/>
  <c r="N67" i="5"/>
  <c r="DR20" i="5"/>
  <c r="DS20" i="5" s="1"/>
  <c r="DT20" i="5" s="1"/>
  <c r="DU20" i="5" s="1"/>
  <c r="L102" i="9"/>
  <c r="BC47" i="7"/>
  <c r="BD47" i="7"/>
  <c r="BW47" i="7"/>
  <c r="I71" i="6"/>
  <c r="F71" i="6"/>
  <c r="BX47" i="7"/>
  <c r="L47" i="7"/>
  <c r="AR116" i="9"/>
  <c r="CI22" i="7"/>
  <c r="CD47" i="7"/>
  <c r="AS127" i="9"/>
  <c r="AR127" i="9"/>
  <c r="AR128" i="9" s="1"/>
  <c r="CC47" i="7"/>
  <c r="AX127" i="9"/>
  <c r="AX71" i="9" s="1"/>
  <c r="AV116" i="9"/>
  <c r="AT116" i="9"/>
  <c r="AV127" i="9"/>
  <c r="AV71" i="9" s="1"/>
  <c r="BH114" i="9"/>
  <c r="CI13" i="9"/>
  <c r="L114" i="9"/>
  <c r="L127" i="9"/>
  <c r="L71" i="9" s="1"/>
  <c r="I103" i="9"/>
  <c r="I144" i="9" s="1"/>
  <c r="CF21" i="7"/>
  <c r="CF59" i="5" s="1"/>
  <c r="CJ21" i="7"/>
  <c r="CJ59" i="5" s="1"/>
  <c r="CN21" i="7"/>
  <c r="CN59" i="5" s="1"/>
  <c r="CC22" i="7"/>
  <c r="CG22" i="7"/>
  <c r="CK22" i="7"/>
  <c r="CO22" i="7"/>
  <c r="CF38" i="7"/>
  <c r="CJ38" i="7"/>
  <c r="CN38" i="7"/>
  <c r="CE39" i="7"/>
  <c r="CI39" i="7"/>
  <c r="CM39" i="7"/>
  <c r="CF41" i="7"/>
  <c r="CJ41" i="7"/>
  <c r="Q72" i="7"/>
  <c r="S24" i="5"/>
  <c r="S34" i="7" s="1"/>
  <c r="BH144" i="9"/>
  <c r="BH145" i="9" s="1"/>
  <c r="K27" i="9"/>
  <c r="K92" i="9" s="1"/>
  <c r="BZ69" i="5"/>
  <c r="CD69" i="5"/>
  <c r="CH69" i="5"/>
  <c r="CL69" i="5"/>
  <c r="AT127" i="9"/>
  <c r="AU128" i="9" s="1"/>
  <c r="AZ127" i="9"/>
  <c r="AZ71" i="9" s="1"/>
  <c r="BB127" i="9"/>
  <c r="BB128" i="9" s="1"/>
  <c r="BD127" i="9"/>
  <c r="BD71" i="9" s="1"/>
  <c r="BF127" i="9"/>
  <c r="BF70" i="9" s="1"/>
  <c r="BH127" i="9"/>
  <c r="BH71" i="9" s="1"/>
  <c r="AW116" i="9"/>
  <c r="BA116" i="9"/>
  <c r="BE116" i="9"/>
  <c r="BC134" i="9"/>
  <c r="BG134" i="9"/>
  <c r="P31" i="6"/>
  <c r="CC58" i="5"/>
  <c r="CO58" i="5"/>
  <c r="CB68" i="5"/>
  <c r="CF68" i="5"/>
  <c r="CF22" i="7" s="1"/>
  <c r="CJ68" i="5"/>
  <c r="CN68" i="5"/>
  <c r="CD58" i="5"/>
  <c r="BY68" i="5"/>
  <c r="CA68" i="5"/>
  <c r="BB79" i="9"/>
  <c r="AX136" i="9"/>
  <c r="O57" i="5"/>
  <c r="J113" i="9" s="1"/>
  <c r="K127" i="9" s="1"/>
  <c r="K71" i="9" s="1"/>
  <c r="BF134" i="9"/>
  <c r="DK24" i="5"/>
  <c r="T45" i="6"/>
  <c r="T82" i="7" s="1"/>
  <c r="DE23" i="5"/>
  <c r="DA24" i="5"/>
  <c r="U24" i="5" s="1"/>
  <c r="DD44" i="6"/>
  <c r="U44" i="6" s="1"/>
  <c r="DB44" i="6"/>
  <c r="DC43" i="6"/>
  <c r="DA43" i="6"/>
  <c r="DD26" i="6"/>
  <c r="U26" i="6" s="1"/>
  <c r="DB26" i="6"/>
  <c r="DC44" i="6"/>
  <c r="DA44" i="6"/>
  <c r="DD43" i="6"/>
  <c r="U43" i="6" s="1"/>
  <c r="DB43" i="6"/>
  <c r="DC26" i="6"/>
  <c r="DA26" i="6"/>
  <c r="CF104" i="6"/>
  <c r="I65" i="9"/>
  <c r="L65" i="9"/>
  <c r="AB61" i="9"/>
  <c r="H65" i="9"/>
  <c r="K65" i="9"/>
  <c r="K115" i="9"/>
  <c r="Q68" i="5"/>
  <c r="P68" i="5"/>
  <c r="P22" i="7" s="1"/>
  <c r="N94" i="6"/>
  <c r="O94" i="6"/>
  <c r="P94" i="6"/>
  <c r="Q94" i="6"/>
  <c r="S45" i="6"/>
  <c r="L109" i="9"/>
  <c r="BI137" i="9"/>
  <c r="BI112" i="9"/>
  <c r="CE62" i="6"/>
  <c r="CI62" i="6"/>
  <c r="CM62" i="6"/>
  <c r="CP23" i="7"/>
  <c r="CQ59" i="7"/>
  <c r="N60" i="7"/>
  <c r="CC62" i="6"/>
  <c r="CG62" i="6"/>
  <c r="CK62" i="6"/>
  <c r="CO62" i="6"/>
  <c r="CP41" i="7"/>
  <c r="CP38" i="7"/>
  <c r="CP39" i="7"/>
  <c r="BI134" i="9"/>
  <c r="BI79" i="9"/>
  <c r="BZ47" i="7"/>
  <c r="CI47" i="7"/>
  <c r="CJ47" i="7"/>
  <c r="CK47" i="7"/>
  <c r="CL47" i="7"/>
  <c r="CN47" i="7"/>
  <c r="CO47" i="7"/>
  <c r="BY45" i="7"/>
  <c r="BY46" i="7" s="1"/>
  <c r="CA45" i="7"/>
  <c r="CA46" i="7" s="1"/>
  <c r="CF46" i="7"/>
  <c r="CB45" i="7"/>
  <c r="CB47" i="7" s="1"/>
  <c r="CG45" i="7"/>
  <c r="CG46" i="7" s="1"/>
  <c r="CH45" i="7"/>
  <c r="CM45" i="7"/>
  <c r="BV47" i="7"/>
  <c r="AJ61" i="9"/>
  <c r="BA47" i="7"/>
  <c r="BE47" i="7"/>
  <c r="BF47" i="7"/>
  <c r="BG47" i="7"/>
  <c r="BH47" i="7"/>
  <c r="BI47" i="7"/>
  <c r="BJ47" i="7"/>
  <c r="BK47" i="7"/>
  <c r="BL47" i="7"/>
  <c r="BM47" i="7"/>
  <c r="BN47" i="7"/>
  <c r="BO47" i="7"/>
  <c r="BP47" i="7"/>
  <c r="BQ47" i="7"/>
  <c r="BR47" i="7"/>
  <c r="BS47" i="7"/>
  <c r="BT47" i="7"/>
  <c r="AF61" i="9"/>
  <c r="AL61" i="9"/>
  <c r="E113" i="9"/>
  <c r="C115" i="9"/>
  <c r="AD61" i="9"/>
  <c r="AH61" i="9"/>
  <c r="M71" i="6"/>
  <c r="M61" i="7" s="1"/>
  <c r="I60" i="6"/>
  <c r="I62" i="6" s="1"/>
  <c r="K60" i="6"/>
  <c r="K62" i="6" s="1"/>
  <c r="M60" i="6"/>
  <c r="L71" i="6"/>
  <c r="L61" i="7" s="1"/>
  <c r="BI158" i="9"/>
  <c r="BJ158" i="9" s="1"/>
  <c r="BK158" i="9" s="1"/>
  <c r="BL158" i="9" s="1"/>
  <c r="BM158" i="9" s="1"/>
  <c r="R29" i="6"/>
  <c r="R69" i="7" s="1"/>
  <c r="U23" i="5"/>
  <c r="U33" i="7" s="1"/>
  <c r="BK26" i="9"/>
  <c r="BJ105" i="9"/>
  <c r="BJ106" i="9" s="1"/>
  <c r="BJ27" i="9"/>
  <c r="CQ32" i="7" s="1"/>
  <c r="BK27" i="9"/>
  <c r="BL87" i="9" s="1"/>
  <c r="P24" i="7"/>
  <c r="K24" i="7"/>
  <c r="R47" i="6"/>
  <c r="R85" i="7" s="1"/>
  <c r="N24" i="7"/>
  <c r="S20" i="5"/>
  <c r="L24" i="7"/>
  <c r="CJ62" i="6"/>
  <c r="BZ71" i="6"/>
  <c r="CA71" i="6"/>
  <c r="CD71" i="6"/>
  <c r="CE71" i="6"/>
  <c r="CH71" i="6"/>
  <c r="CI71" i="6"/>
  <c r="CL71" i="6"/>
  <c r="CM71" i="6"/>
  <c r="P23" i="7"/>
  <c r="S54" i="6"/>
  <c r="J71" i="6"/>
  <c r="J61" i="7" s="1"/>
  <c r="AG23" i="7"/>
  <c r="AK23" i="7"/>
  <c r="AQ23" i="7"/>
  <c r="AU23" i="7"/>
  <c r="AY23" i="7"/>
  <c r="BG21" i="7"/>
  <c r="BK21" i="7"/>
  <c r="BF22" i="7"/>
  <c r="BJ22" i="7"/>
  <c r="BN22" i="7"/>
  <c r="BR22" i="7"/>
  <c r="BV22" i="7"/>
  <c r="BZ22" i="7"/>
  <c r="CD22" i="7"/>
  <c r="CH22" i="7"/>
  <c r="CL22" i="7"/>
  <c r="J24" i="7"/>
  <c r="O24" i="7"/>
  <c r="Q24" i="7"/>
  <c r="R94" i="6"/>
  <c r="P103" i="6"/>
  <c r="Q103" i="6"/>
  <c r="K47" i="7"/>
  <c r="S29" i="6"/>
  <c r="S56" i="6"/>
  <c r="H48" i="6"/>
  <c r="J48" i="6"/>
  <c r="L48" i="6"/>
  <c r="N48" i="6"/>
  <c r="P48" i="6"/>
  <c r="CF62" i="6"/>
  <c r="CN62" i="6"/>
  <c r="BY71" i="6"/>
  <c r="CB71" i="6"/>
  <c r="CC71" i="6"/>
  <c r="CF71" i="6"/>
  <c r="CG71" i="6"/>
  <c r="CJ71" i="6"/>
  <c r="CK71" i="6"/>
  <c r="CN71" i="6"/>
  <c r="H71" i="6"/>
  <c r="AE23" i="7"/>
  <c r="AI23" i="7"/>
  <c r="AM23" i="7"/>
  <c r="AS23" i="7"/>
  <c r="AW23" i="7"/>
  <c r="BI21" i="7"/>
  <c r="BH22" i="7"/>
  <c r="BL22" i="7"/>
  <c r="BP22" i="7"/>
  <c r="BT22" i="7"/>
  <c r="BX22" i="7"/>
  <c r="CB22" i="7"/>
  <c r="CJ22" i="7"/>
  <c r="CN22" i="7"/>
  <c r="R54" i="7"/>
  <c r="R56" i="5"/>
  <c r="C135" i="9"/>
  <c r="D135" i="9"/>
  <c r="D106" i="9"/>
  <c r="E135" i="9"/>
  <c r="E106" i="9"/>
  <c r="F135" i="9"/>
  <c r="F106" i="9"/>
  <c r="F120" i="9"/>
  <c r="G135" i="9"/>
  <c r="G106" i="9"/>
  <c r="H135" i="9"/>
  <c r="H106" i="9"/>
  <c r="H120" i="9"/>
  <c r="I135" i="9"/>
  <c r="I106" i="9"/>
  <c r="J135" i="9"/>
  <c r="J106" i="9"/>
  <c r="K135" i="9"/>
  <c r="K106" i="9"/>
  <c r="L135" i="9"/>
  <c r="L106" i="9"/>
  <c r="R55" i="7"/>
  <c r="R53" i="5"/>
  <c r="N67" i="6"/>
  <c r="N51" i="5"/>
  <c r="N57" i="5" s="1"/>
  <c r="N69" i="7"/>
  <c r="Q69" i="7"/>
  <c r="D162" i="9"/>
  <c r="C121" i="9"/>
  <c r="C133" i="9"/>
  <c r="C79" i="9" s="1"/>
  <c r="D133" i="9"/>
  <c r="D79" i="9" s="1"/>
  <c r="C141" i="9"/>
  <c r="D100" i="9"/>
  <c r="D121" i="9"/>
  <c r="E133" i="9"/>
  <c r="D141" i="9"/>
  <c r="D143" i="9" s="1"/>
  <c r="E100" i="9"/>
  <c r="E119" i="9"/>
  <c r="E121" i="9"/>
  <c r="F133" i="9"/>
  <c r="F79" i="9" s="1"/>
  <c r="E141" i="9"/>
  <c r="F100" i="9"/>
  <c r="F119" i="9"/>
  <c r="F121" i="9"/>
  <c r="G133" i="9"/>
  <c r="F141" i="9"/>
  <c r="F143" i="9" s="1"/>
  <c r="G100" i="9"/>
  <c r="G121" i="9"/>
  <c r="H133" i="9"/>
  <c r="H79" i="9" s="1"/>
  <c r="G141" i="9"/>
  <c r="G143" i="9" s="1"/>
  <c r="H100" i="9"/>
  <c r="H119" i="9"/>
  <c r="H141" i="9"/>
  <c r="H143" i="9" s="1"/>
  <c r="J121" i="9"/>
  <c r="K133" i="9"/>
  <c r="K79" i="9" s="1"/>
  <c r="J141" i="9"/>
  <c r="K100" i="9"/>
  <c r="K121" i="9"/>
  <c r="L133" i="9"/>
  <c r="L79" i="9" s="1"/>
  <c r="K141" i="9"/>
  <c r="K143" i="9" s="1"/>
  <c r="L100" i="9"/>
  <c r="L121" i="9"/>
  <c r="L141" i="9"/>
  <c r="L143" i="9" s="1"/>
  <c r="AR100" i="9"/>
  <c r="AR119" i="9"/>
  <c r="AR121" i="9"/>
  <c r="AR133" i="9"/>
  <c r="AS133" i="9"/>
  <c r="AR141" i="9"/>
  <c r="AR143" i="9" s="1"/>
  <c r="AS100" i="9"/>
  <c r="AS119" i="9"/>
  <c r="AS121" i="9"/>
  <c r="AT133" i="9"/>
  <c r="AS141" i="9"/>
  <c r="AS143" i="9" s="1"/>
  <c r="AT100" i="9"/>
  <c r="AT119" i="9"/>
  <c r="AT121" i="9"/>
  <c r="AU133" i="9"/>
  <c r="AT141" i="9"/>
  <c r="AT143" i="9" s="1"/>
  <c r="F98" i="9"/>
  <c r="X119" i="9"/>
  <c r="X120" i="9"/>
  <c r="X123" i="9"/>
  <c r="Y131" i="9"/>
  <c r="Y98" i="9"/>
  <c r="Y119" i="9"/>
  <c r="Y120" i="9"/>
  <c r="Y123" i="9"/>
  <c r="Z131" i="9"/>
  <c r="Z14" i="10" s="1"/>
  <c r="Z98" i="9"/>
  <c r="Z119" i="9"/>
  <c r="Z120" i="9"/>
  <c r="Z123" i="9"/>
  <c r="AA131" i="9"/>
  <c r="AA14" i="10" s="1"/>
  <c r="AA98" i="9"/>
  <c r="AA119" i="9"/>
  <c r="AA120" i="9"/>
  <c r="AA123" i="9"/>
  <c r="AB131" i="9"/>
  <c r="AB14" i="10" s="1"/>
  <c r="AB98" i="9"/>
  <c r="AB119" i="9"/>
  <c r="AB120" i="9"/>
  <c r="AB123" i="9"/>
  <c r="AC131" i="9"/>
  <c r="AC98" i="9"/>
  <c r="AC119" i="9"/>
  <c r="AC120" i="9"/>
  <c r="AC123" i="9"/>
  <c r="AD131" i="9"/>
  <c r="AD14" i="10" s="1"/>
  <c r="AD98" i="9"/>
  <c r="AD119" i="9"/>
  <c r="AD120" i="9"/>
  <c r="AD123" i="9"/>
  <c r="AE131" i="9"/>
  <c r="AE14" i="10" s="1"/>
  <c r="AE98" i="9"/>
  <c r="AE119" i="9"/>
  <c r="AE120" i="9"/>
  <c r="AE123" i="9"/>
  <c r="AF131" i="9"/>
  <c r="AF14" i="10" s="1"/>
  <c r="AF98" i="9"/>
  <c r="AF119" i="9"/>
  <c r="AF120" i="9"/>
  <c r="AF123" i="9"/>
  <c r="AG131" i="9"/>
  <c r="AG98" i="9"/>
  <c r="AG119" i="9"/>
  <c r="AG120" i="9"/>
  <c r="AG123" i="9"/>
  <c r="AH131" i="9"/>
  <c r="AH14" i="10" s="1"/>
  <c r="AH98" i="9"/>
  <c r="AH119" i="9"/>
  <c r="AH120" i="9"/>
  <c r="AH123" i="9"/>
  <c r="AI131" i="9"/>
  <c r="AI14" i="10" s="1"/>
  <c r="AI98" i="9"/>
  <c r="AI119" i="9"/>
  <c r="AI120" i="9"/>
  <c r="AI123" i="9"/>
  <c r="AJ131" i="9"/>
  <c r="AJ14" i="10" s="1"/>
  <c r="AJ98" i="9"/>
  <c r="AJ119" i="9"/>
  <c r="AJ120" i="9"/>
  <c r="AJ123" i="9"/>
  <c r="AK131" i="9"/>
  <c r="AK98" i="9"/>
  <c r="AK119" i="9"/>
  <c r="AK120" i="9"/>
  <c r="AK123" i="9"/>
  <c r="AL131" i="9"/>
  <c r="AL14" i="10" s="1"/>
  <c r="AL98" i="9"/>
  <c r="AL119" i="9"/>
  <c r="AL120" i="9"/>
  <c r="AL123" i="9"/>
  <c r="AM131" i="9"/>
  <c r="AM14" i="10" s="1"/>
  <c r="AM98" i="9"/>
  <c r="AM119" i="9"/>
  <c r="AM120" i="9"/>
  <c r="AM123" i="9"/>
  <c r="AN131" i="9"/>
  <c r="AN14" i="10" s="1"/>
  <c r="AN98" i="9"/>
  <c r="AN119" i="9"/>
  <c r="AN120" i="9"/>
  <c r="AO131" i="9"/>
  <c r="AO14" i="10" s="1"/>
  <c r="AO98" i="9"/>
  <c r="AO119" i="9"/>
  <c r="AO120" i="9"/>
  <c r="AP131" i="9"/>
  <c r="AP14" i="10" s="1"/>
  <c r="AP98" i="9"/>
  <c r="AP119" i="9"/>
  <c r="AP120" i="9"/>
  <c r="AQ131" i="9"/>
  <c r="AQ14" i="10" s="1"/>
  <c r="AQ98" i="9"/>
  <c r="AQ119" i="9"/>
  <c r="AQ120" i="9"/>
  <c r="AR131" i="9"/>
  <c r="AR14" i="10" s="1"/>
  <c r="AR98" i="9"/>
  <c r="AR120" i="9"/>
  <c r="AS131" i="9"/>
  <c r="AS14" i="10" s="1"/>
  <c r="AS98" i="9"/>
  <c r="AS120" i="9"/>
  <c r="AT131" i="9"/>
  <c r="AT14" i="10" s="1"/>
  <c r="AT98" i="9"/>
  <c r="AT120" i="9"/>
  <c r="AV119" i="9"/>
  <c r="AV120" i="9"/>
  <c r="AW131" i="9"/>
  <c r="AW21" i="10" s="1"/>
  <c r="AW98" i="9"/>
  <c r="AW119" i="9"/>
  <c r="AW120" i="9"/>
  <c r="AX131" i="9"/>
  <c r="AX21" i="10" s="1"/>
  <c r="AX98" i="9"/>
  <c r="AX119" i="9"/>
  <c r="AX120" i="9"/>
  <c r="AY131" i="9"/>
  <c r="AY14" i="10" s="1"/>
  <c r="AY98" i="9"/>
  <c r="AY119" i="9"/>
  <c r="AY120" i="9"/>
  <c r="AZ131" i="9"/>
  <c r="AZ21" i="10" s="1"/>
  <c r="AZ98" i="9"/>
  <c r="AZ119" i="9"/>
  <c r="AZ120" i="9"/>
  <c r="BA131" i="9"/>
  <c r="BA14" i="10" s="1"/>
  <c r="BA98" i="9"/>
  <c r="BA119" i="9"/>
  <c r="BA120" i="9"/>
  <c r="BB131" i="9"/>
  <c r="BB98" i="9"/>
  <c r="BB119" i="9"/>
  <c r="BB120" i="9"/>
  <c r="BC131" i="9"/>
  <c r="BC14" i="10" s="1"/>
  <c r="BC98" i="9"/>
  <c r="BC119" i="9"/>
  <c r="BC120" i="9"/>
  <c r="BD131" i="9"/>
  <c r="BD89" i="9"/>
  <c r="BD98" i="9"/>
  <c r="BD119" i="9"/>
  <c r="BD120" i="9"/>
  <c r="BE131" i="9"/>
  <c r="BE18" i="10" s="1"/>
  <c r="BE89" i="9"/>
  <c r="BE98" i="9"/>
  <c r="BE119" i="9"/>
  <c r="BE120" i="9"/>
  <c r="BF131" i="9"/>
  <c r="BF18" i="10" s="1"/>
  <c r="BF89" i="9"/>
  <c r="BF98" i="9"/>
  <c r="BF119" i="9"/>
  <c r="BF120" i="9"/>
  <c r="BG131" i="9"/>
  <c r="BG14" i="10" s="1"/>
  <c r="BG98" i="9"/>
  <c r="BG119" i="9"/>
  <c r="BG120" i="9"/>
  <c r="BH131" i="9"/>
  <c r="BH14" i="10" s="1"/>
  <c r="Y108" i="9"/>
  <c r="Y121" i="9"/>
  <c r="Z108" i="9"/>
  <c r="Z121" i="9"/>
  <c r="AA108" i="9"/>
  <c r="AA121" i="9"/>
  <c r="AB108" i="9"/>
  <c r="AB121" i="9"/>
  <c r="AC108" i="9"/>
  <c r="AC121" i="9"/>
  <c r="AD108" i="9"/>
  <c r="AD121" i="9"/>
  <c r="AE108" i="9"/>
  <c r="AE121" i="9"/>
  <c r="AF108" i="9"/>
  <c r="AF121" i="9"/>
  <c r="AG108" i="9"/>
  <c r="AG121" i="9"/>
  <c r="AH108" i="9"/>
  <c r="AH121" i="9"/>
  <c r="AI108" i="9"/>
  <c r="AI121" i="9"/>
  <c r="AJ108" i="9"/>
  <c r="AJ121" i="9"/>
  <c r="AK108" i="9"/>
  <c r="AK121" i="9"/>
  <c r="AL108" i="9"/>
  <c r="AL121" i="9"/>
  <c r="AM108" i="9"/>
  <c r="AM121" i="9"/>
  <c r="AN108" i="9"/>
  <c r="AN121" i="9"/>
  <c r="AO108" i="9"/>
  <c r="AO121" i="9"/>
  <c r="AP108" i="9"/>
  <c r="AP121" i="9"/>
  <c r="AQ108" i="9"/>
  <c r="AQ121" i="9"/>
  <c r="AV108" i="9"/>
  <c r="AV121" i="9"/>
  <c r="AW108" i="9"/>
  <c r="AW121" i="9"/>
  <c r="AX108" i="9"/>
  <c r="AX121" i="9"/>
  <c r="AY108" i="9"/>
  <c r="AY121" i="9"/>
  <c r="AZ108" i="9"/>
  <c r="AZ121" i="9"/>
  <c r="BA108" i="9"/>
  <c r="BA121" i="9"/>
  <c r="BB108" i="9"/>
  <c r="BB121" i="9"/>
  <c r="BC108" i="9"/>
  <c r="BC121" i="9"/>
  <c r="BD108" i="9"/>
  <c r="BD121" i="9"/>
  <c r="BE108" i="9"/>
  <c r="BE121" i="9"/>
  <c r="BF108" i="9"/>
  <c r="BF121" i="9"/>
  <c r="BG108" i="9"/>
  <c r="BG121" i="9"/>
  <c r="BH108" i="9"/>
  <c r="BH121" i="9"/>
  <c r="J111" i="9"/>
  <c r="J147" i="9" s="1"/>
  <c r="O60" i="6"/>
  <c r="K111" i="9"/>
  <c r="P60" i="6"/>
  <c r="L111" i="9"/>
  <c r="L147" i="9" s="1"/>
  <c r="Q60" i="6"/>
  <c r="C103" i="9"/>
  <c r="C144" i="9" s="1"/>
  <c r="D103" i="9"/>
  <c r="E104" i="9" s="1"/>
  <c r="E144" i="9"/>
  <c r="F104" i="9"/>
  <c r="F144" i="9"/>
  <c r="G104" i="9"/>
  <c r="G144" i="9"/>
  <c r="I104" i="9"/>
  <c r="J104" i="9"/>
  <c r="J144" i="9"/>
  <c r="K104" i="9"/>
  <c r="K144" i="9"/>
  <c r="L104" i="9"/>
  <c r="L144" i="9"/>
  <c r="J106" i="6"/>
  <c r="J104" i="6" s="1"/>
  <c r="K106" i="6"/>
  <c r="K104" i="6" s="1"/>
  <c r="L106" i="6"/>
  <c r="L104" i="6" s="1"/>
  <c r="M106" i="6"/>
  <c r="M104" i="6" s="1"/>
  <c r="BY104" i="6"/>
  <c r="CG104" i="6"/>
  <c r="P106" i="6"/>
  <c r="CK104" i="6"/>
  <c r="Q106" i="6"/>
  <c r="Q104" i="6" s="1"/>
  <c r="CL104" i="6"/>
  <c r="R106" i="6"/>
  <c r="I22" i="9"/>
  <c r="N15" i="5"/>
  <c r="M26" i="9"/>
  <c r="R27" i="7"/>
  <c r="I30" i="9"/>
  <c r="N28" i="7"/>
  <c r="N21" i="5"/>
  <c r="H31" i="9"/>
  <c r="M29" i="7"/>
  <c r="J31" i="9"/>
  <c r="O29" i="7"/>
  <c r="O21" i="5"/>
  <c r="K31" i="9"/>
  <c r="P29" i="7"/>
  <c r="P21" i="5"/>
  <c r="Q30" i="7"/>
  <c r="Q21" i="5"/>
  <c r="R33" i="7"/>
  <c r="R26" i="5"/>
  <c r="AD33" i="7"/>
  <c r="T33" i="7"/>
  <c r="CB31" i="6"/>
  <c r="I99" i="9"/>
  <c r="N23" i="6"/>
  <c r="AU100" i="9"/>
  <c r="AV100" i="9"/>
  <c r="AU121" i="9"/>
  <c r="AV133" i="9"/>
  <c r="AU141" i="9"/>
  <c r="AU143" i="9" s="1"/>
  <c r="C60" i="9"/>
  <c r="C137" i="9"/>
  <c r="D137" i="9"/>
  <c r="D60" i="9"/>
  <c r="D112" i="9"/>
  <c r="E137" i="9"/>
  <c r="E138" i="9" s="1"/>
  <c r="E60" i="9"/>
  <c r="E112" i="9"/>
  <c r="F137" i="9"/>
  <c r="F60" i="9"/>
  <c r="F112" i="9"/>
  <c r="F123" i="9"/>
  <c r="G137" i="9"/>
  <c r="G138" i="9" s="1"/>
  <c r="G60" i="9"/>
  <c r="G112" i="9"/>
  <c r="H137" i="9"/>
  <c r="H60" i="9"/>
  <c r="H112" i="9"/>
  <c r="H123" i="9"/>
  <c r="AN60" i="9"/>
  <c r="AN61" i="9" s="1"/>
  <c r="AN112" i="9"/>
  <c r="AN123" i="9"/>
  <c r="AN137" i="9"/>
  <c r="AN138" i="9" s="1"/>
  <c r="AO137" i="9"/>
  <c r="AO60" i="9"/>
  <c r="AO112" i="9"/>
  <c r="AO123" i="9"/>
  <c r="AP137" i="9"/>
  <c r="AP138" i="9" s="1"/>
  <c r="AP60" i="9"/>
  <c r="AP61" i="9" s="1"/>
  <c r="AP112" i="9"/>
  <c r="AP123" i="9"/>
  <c r="AQ137" i="9"/>
  <c r="AQ60" i="9"/>
  <c r="AQ112" i="9"/>
  <c r="AQ123" i="9"/>
  <c r="AR137" i="9"/>
  <c r="AR112" i="9"/>
  <c r="AR123" i="9"/>
  <c r="AS137" i="9"/>
  <c r="AS138" i="9" s="1"/>
  <c r="AS61" i="9"/>
  <c r="AS112" i="9"/>
  <c r="AS123" i="9"/>
  <c r="AT137" i="9"/>
  <c r="AT61" i="9"/>
  <c r="AT112" i="9"/>
  <c r="AT123" i="9"/>
  <c r="AV123" i="9"/>
  <c r="AW137" i="9"/>
  <c r="AW112" i="9"/>
  <c r="AW123" i="9"/>
  <c r="AX137" i="9"/>
  <c r="AX112" i="9"/>
  <c r="AX123" i="9"/>
  <c r="AY137" i="9"/>
  <c r="AY112" i="9"/>
  <c r="AY123" i="9"/>
  <c r="AZ137" i="9"/>
  <c r="AZ112" i="9"/>
  <c r="AZ123" i="9"/>
  <c r="BA137" i="9"/>
  <c r="BA61" i="9"/>
  <c r="BA112" i="9"/>
  <c r="BA123" i="9"/>
  <c r="BB137" i="9"/>
  <c r="BB61" i="9"/>
  <c r="BB112" i="9"/>
  <c r="BB123" i="9"/>
  <c r="BC137" i="9"/>
  <c r="BC61" i="9"/>
  <c r="BC112" i="9"/>
  <c r="BC123" i="9"/>
  <c r="BD137" i="9"/>
  <c r="BD61" i="9"/>
  <c r="BD112" i="9"/>
  <c r="BD123" i="9"/>
  <c r="BE137" i="9"/>
  <c r="BE138" i="9" s="1"/>
  <c r="BE61" i="9"/>
  <c r="BE112" i="9"/>
  <c r="BE123" i="9"/>
  <c r="BF137" i="9"/>
  <c r="BF61" i="9"/>
  <c r="BF112" i="9"/>
  <c r="BF123" i="9"/>
  <c r="BG137" i="9"/>
  <c r="BG138" i="9" s="1"/>
  <c r="BG61" i="9"/>
  <c r="BG112" i="9"/>
  <c r="BG123" i="9"/>
  <c r="BH137" i="9"/>
  <c r="BH112" i="9"/>
  <c r="C143" i="9"/>
  <c r="C147" i="9"/>
  <c r="C154" i="9"/>
  <c r="D147" i="9"/>
  <c r="D154" i="9"/>
  <c r="E143" i="9"/>
  <c r="E147" i="9"/>
  <c r="E154" i="9"/>
  <c r="F147" i="9"/>
  <c r="F154" i="9"/>
  <c r="G147" i="9"/>
  <c r="G154" i="9"/>
  <c r="H147" i="9"/>
  <c r="H154" i="9"/>
  <c r="I154" i="9"/>
  <c r="J143" i="9"/>
  <c r="J154" i="9"/>
  <c r="K154" i="9"/>
  <c r="L154" i="9"/>
  <c r="X143" i="9"/>
  <c r="X147" i="9"/>
  <c r="X154" i="9"/>
  <c r="Y143" i="9"/>
  <c r="Y147" i="9"/>
  <c r="Y154" i="9"/>
  <c r="Z143" i="9"/>
  <c r="Z147" i="9"/>
  <c r="Z154" i="9"/>
  <c r="AA143" i="9"/>
  <c r="AA147" i="9"/>
  <c r="AA154" i="9"/>
  <c r="AB143" i="9"/>
  <c r="AB147" i="9"/>
  <c r="AB154" i="9"/>
  <c r="AC143" i="9"/>
  <c r="AC147" i="9"/>
  <c r="AC154" i="9"/>
  <c r="AD143" i="9"/>
  <c r="AD147" i="9"/>
  <c r="AD154" i="9"/>
  <c r="AE143" i="9"/>
  <c r="AE147" i="9"/>
  <c r="AE154" i="9"/>
  <c r="AF143" i="9"/>
  <c r="AF147" i="9"/>
  <c r="AF154" i="9"/>
  <c r="AG143" i="9"/>
  <c r="AG147" i="9"/>
  <c r="AG154" i="9"/>
  <c r="AH143" i="9"/>
  <c r="AH147" i="9"/>
  <c r="AH154" i="9"/>
  <c r="AI143" i="9"/>
  <c r="AI147" i="9"/>
  <c r="AI154" i="9"/>
  <c r="AJ143" i="9"/>
  <c r="AJ147" i="9"/>
  <c r="AJ154" i="9"/>
  <c r="AK143" i="9"/>
  <c r="AK147" i="9"/>
  <c r="AK154" i="9"/>
  <c r="AL143" i="9"/>
  <c r="AL147" i="9"/>
  <c r="AL154" i="9"/>
  <c r="AM143" i="9"/>
  <c r="AM147" i="9"/>
  <c r="AM154" i="9"/>
  <c r="AN143" i="9"/>
  <c r="AN147" i="9"/>
  <c r="AN154" i="9"/>
  <c r="AO143" i="9"/>
  <c r="AO147" i="9"/>
  <c r="AO154" i="9"/>
  <c r="AP143" i="9"/>
  <c r="AP147" i="9"/>
  <c r="AP154" i="9"/>
  <c r="AQ143" i="9"/>
  <c r="AQ147" i="9"/>
  <c r="AQ154" i="9"/>
  <c r="AR147" i="9"/>
  <c r="AR154" i="9"/>
  <c r="AS147" i="9"/>
  <c r="AS154" i="9"/>
  <c r="AT147" i="9"/>
  <c r="AT154" i="9"/>
  <c r="AU154" i="9"/>
  <c r="AV143" i="9"/>
  <c r="AV147" i="9"/>
  <c r="AV154" i="9"/>
  <c r="AW143" i="9"/>
  <c r="AW147" i="9"/>
  <c r="AW154" i="9"/>
  <c r="AX143" i="9"/>
  <c r="AX147" i="9"/>
  <c r="AX154" i="9"/>
  <c r="AY143" i="9"/>
  <c r="AY147" i="9"/>
  <c r="AY154" i="9"/>
  <c r="AZ143" i="9"/>
  <c r="AZ147" i="9"/>
  <c r="AZ154" i="9"/>
  <c r="BA143" i="9"/>
  <c r="BA147" i="9"/>
  <c r="BA154" i="9"/>
  <c r="BB143" i="9"/>
  <c r="BB147" i="9"/>
  <c r="BB154" i="9"/>
  <c r="BC143" i="9"/>
  <c r="BC147" i="9"/>
  <c r="BC154" i="9"/>
  <c r="BD143" i="9"/>
  <c r="BD147" i="9"/>
  <c r="BD154" i="9"/>
  <c r="BE143" i="9"/>
  <c r="BE147" i="9"/>
  <c r="BE154" i="9"/>
  <c r="BF143" i="9"/>
  <c r="BF147" i="9"/>
  <c r="BF154" i="9"/>
  <c r="BG143" i="9"/>
  <c r="BG147" i="9"/>
  <c r="BG154" i="9"/>
  <c r="BH143" i="9"/>
  <c r="BH147" i="9"/>
  <c r="BH154" i="9"/>
  <c r="H146" i="9"/>
  <c r="X145" i="9"/>
  <c r="X146" i="9"/>
  <c r="Y104" i="9"/>
  <c r="Y144" i="9"/>
  <c r="Z104" i="9"/>
  <c r="Z144" i="9"/>
  <c r="AA104" i="9"/>
  <c r="AA144" i="9"/>
  <c r="AB104" i="9"/>
  <c r="AB144" i="9"/>
  <c r="AC104" i="9"/>
  <c r="AC144" i="9"/>
  <c r="AD104" i="9"/>
  <c r="AD144" i="9"/>
  <c r="AE104" i="9"/>
  <c r="AE144" i="9"/>
  <c r="AF104" i="9"/>
  <c r="AF144" i="9"/>
  <c r="AG104" i="9"/>
  <c r="AG144" i="9"/>
  <c r="AH104" i="9"/>
  <c r="AH144" i="9"/>
  <c r="AI104" i="9"/>
  <c r="AI144" i="9"/>
  <c r="AJ104" i="9"/>
  <c r="AJ144" i="9"/>
  <c r="AK104" i="9"/>
  <c r="AK144" i="9"/>
  <c r="AL104" i="9"/>
  <c r="AL144" i="9"/>
  <c r="AM104" i="9"/>
  <c r="AM144" i="9"/>
  <c r="AN104" i="9"/>
  <c r="AN144" i="9"/>
  <c r="AO104" i="9"/>
  <c r="AO144" i="9"/>
  <c r="AP104" i="9"/>
  <c r="AP144" i="9"/>
  <c r="AQ104" i="9"/>
  <c r="AQ144" i="9"/>
  <c r="AR104" i="9"/>
  <c r="AR144" i="9"/>
  <c r="AS104" i="9"/>
  <c r="AS144" i="9"/>
  <c r="AT104" i="9"/>
  <c r="AT144" i="9"/>
  <c r="AU104" i="9"/>
  <c r="AU144" i="9"/>
  <c r="AV104" i="9"/>
  <c r="AV144" i="9"/>
  <c r="AW104" i="9"/>
  <c r="AW144" i="9"/>
  <c r="AX104" i="9"/>
  <c r="AX144" i="9"/>
  <c r="AY104" i="9"/>
  <c r="AY144" i="9"/>
  <c r="AZ104" i="9"/>
  <c r="AZ144" i="9"/>
  <c r="BA104" i="9"/>
  <c r="BA144" i="9"/>
  <c r="BB104" i="9"/>
  <c r="BB144" i="9"/>
  <c r="BC104" i="9"/>
  <c r="BC144" i="9"/>
  <c r="BD104" i="9"/>
  <c r="BD144" i="9"/>
  <c r="BE145" i="9"/>
  <c r="BE146" i="9"/>
  <c r="BF145" i="9"/>
  <c r="BF146" i="9"/>
  <c r="BG145" i="9"/>
  <c r="BG146" i="9"/>
  <c r="B3" i="11"/>
  <c r="A2" i="10"/>
  <c r="C20" i="9"/>
  <c r="C76" i="9" s="1"/>
  <c r="C71" i="9"/>
  <c r="D20" i="9"/>
  <c r="D76" i="9" s="1"/>
  <c r="D71" i="9"/>
  <c r="E20" i="9"/>
  <c r="E78" i="9" s="1"/>
  <c r="F20" i="9"/>
  <c r="G20" i="9"/>
  <c r="G78" i="9" s="1"/>
  <c r="G71" i="9"/>
  <c r="H20" i="9"/>
  <c r="H78" i="9" s="1"/>
  <c r="H71" i="9"/>
  <c r="I20" i="9"/>
  <c r="J20" i="9"/>
  <c r="K20" i="9"/>
  <c r="L20" i="9"/>
  <c r="E72" i="9"/>
  <c r="F72" i="9"/>
  <c r="G72" i="9"/>
  <c r="H72" i="9"/>
  <c r="D84" i="9"/>
  <c r="E79" i="9"/>
  <c r="E84" i="9"/>
  <c r="F78" i="9"/>
  <c r="F84" i="9"/>
  <c r="G79" i="9"/>
  <c r="G84" i="9"/>
  <c r="H84" i="9"/>
  <c r="K84" i="9"/>
  <c r="L78" i="9"/>
  <c r="L84" i="9"/>
  <c r="AU24" i="9"/>
  <c r="AU34" i="9" s="1"/>
  <c r="AU38" i="9" s="1"/>
  <c r="AU43" i="9" s="1"/>
  <c r="AU47" i="9" s="1"/>
  <c r="AU78" i="9"/>
  <c r="AU79" i="9"/>
  <c r="AU84" i="9"/>
  <c r="AV84" i="9"/>
  <c r="C92" i="9"/>
  <c r="D85" i="9"/>
  <c r="D92" i="9"/>
  <c r="E85" i="9"/>
  <c r="E92" i="9"/>
  <c r="F85" i="9"/>
  <c r="F92" i="9"/>
  <c r="G85" i="9"/>
  <c r="G92" i="9"/>
  <c r="H85" i="9"/>
  <c r="H92" i="9"/>
  <c r="I85" i="9"/>
  <c r="J85" i="9"/>
  <c r="J92" i="9"/>
  <c r="K85" i="9"/>
  <c r="L85" i="9"/>
  <c r="BJ85" i="9"/>
  <c r="R43" i="6"/>
  <c r="R26" i="6"/>
  <c r="S43" i="6"/>
  <c r="S80" i="7" s="1"/>
  <c r="S26" i="6"/>
  <c r="S65" i="7" s="1"/>
  <c r="T43" i="6"/>
  <c r="T26" i="6"/>
  <c r="R45" i="6"/>
  <c r="R82" i="7" s="1"/>
  <c r="D87" i="9"/>
  <c r="E87" i="9"/>
  <c r="F87" i="9"/>
  <c r="G87" i="9"/>
  <c r="H87" i="9"/>
  <c r="I87" i="9"/>
  <c r="J87" i="9"/>
  <c r="K87" i="9"/>
  <c r="AF34" i="9"/>
  <c r="AF38" i="9" s="1"/>
  <c r="AF76" i="9"/>
  <c r="AF87" i="9"/>
  <c r="AF92" i="9"/>
  <c r="AF93" i="9" s="1"/>
  <c r="AG14" i="10"/>
  <c r="AG34" i="9"/>
  <c r="AG38" i="9" s="1"/>
  <c r="AG76" i="9"/>
  <c r="AG87" i="9"/>
  <c r="AG92" i="9"/>
  <c r="AG93" i="9" s="1"/>
  <c r="AH34" i="9"/>
  <c r="AH38" i="9" s="1"/>
  <c r="AH76" i="9"/>
  <c r="AH87" i="9"/>
  <c r="AH92" i="9"/>
  <c r="AH93" i="9" s="1"/>
  <c r="AI34" i="9"/>
  <c r="AI38" i="9" s="1"/>
  <c r="AI76" i="9"/>
  <c r="AI87" i="9"/>
  <c r="AI92" i="9"/>
  <c r="AI93" i="9" s="1"/>
  <c r="AJ34" i="9"/>
  <c r="AJ38" i="9" s="1"/>
  <c r="AJ76" i="9"/>
  <c r="AJ87" i="9"/>
  <c r="AJ92" i="9"/>
  <c r="AJ93" i="9" s="1"/>
  <c r="AK14" i="10"/>
  <c r="AK34" i="9"/>
  <c r="AK38" i="9" s="1"/>
  <c r="AK76" i="9"/>
  <c r="AK87" i="9"/>
  <c r="AK92" i="9"/>
  <c r="AK93" i="9" s="1"/>
  <c r="AL34" i="9"/>
  <c r="AL38" i="9" s="1"/>
  <c r="AL76" i="9"/>
  <c r="AL87" i="9"/>
  <c r="AL92" i="9"/>
  <c r="AL93" i="9" s="1"/>
  <c r="AM34" i="9"/>
  <c r="AM38" i="9" s="1"/>
  <c r="AM76" i="9"/>
  <c r="AM87" i="9"/>
  <c r="AM92" i="9"/>
  <c r="AM93" i="9" s="1"/>
  <c r="AN34" i="9"/>
  <c r="AN38" i="9" s="1"/>
  <c r="AN43" i="9" s="1"/>
  <c r="AN47" i="9" s="1"/>
  <c r="AN76" i="9"/>
  <c r="AN87" i="9"/>
  <c r="AN92" i="9"/>
  <c r="AN93" i="9" s="1"/>
  <c r="BU32" i="7"/>
  <c r="AO34" i="9"/>
  <c r="AO38" i="9" s="1"/>
  <c r="AO76" i="9"/>
  <c r="AO87" i="9"/>
  <c r="AO92" i="9"/>
  <c r="AO93" i="9" s="1"/>
  <c r="BV32" i="7"/>
  <c r="AP34" i="9"/>
  <c r="AP38" i="9" s="1"/>
  <c r="AP76" i="9"/>
  <c r="AP87" i="9"/>
  <c r="AP92" i="9"/>
  <c r="AP93" i="9" s="1"/>
  <c r="BW32" i="7"/>
  <c r="AQ34" i="9"/>
  <c r="AQ38" i="9" s="1"/>
  <c r="AQ76" i="9"/>
  <c r="AQ87" i="9"/>
  <c r="AQ92" i="9"/>
  <c r="AQ93" i="9" s="1"/>
  <c r="BX32" i="7"/>
  <c r="AR34" i="9"/>
  <c r="AR38" i="9" s="1"/>
  <c r="AR76" i="9"/>
  <c r="AR87" i="9"/>
  <c r="AR92" i="9"/>
  <c r="AR93" i="9" s="1"/>
  <c r="BY32" i="7"/>
  <c r="AS34" i="9"/>
  <c r="AS38" i="9" s="1"/>
  <c r="AS76" i="9"/>
  <c r="AS87" i="9"/>
  <c r="AS92" i="9"/>
  <c r="AS93" i="9" s="1"/>
  <c r="BZ32" i="7"/>
  <c r="AT34" i="9"/>
  <c r="AT38" i="9" s="1"/>
  <c r="AT76" i="9"/>
  <c r="AT87" i="9"/>
  <c r="AT92" i="9"/>
  <c r="AT93" i="9" s="1"/>
  <c r="CA32" i="7"/>
  <c r="AU76" i="9"/>
  <c r="AU87" i="9"/>
  <c r="AU92" i="9"/>
  <c r="AU93" i="9" s="1"/>
  <c r="CB32" i="7"/>
  <c r="AV34" i="9"/>
  <c r="AV38" i="9" s="1"/>
  <c r="AV43" i="9" s="1"/>
  <c r="AV47" i="9" s="1"/>
  <c r="AV87" i="9"/>
  <c r="AV92" i="9"/>
  <c r="AV93" i="9" s="1"/>
  <c r="CC32" i="7"/>
  <c r="AW34" i="9"/>
  <c r="AW38" i="9" s="1"/>
  <c r="AW43" i="9" s="1"/>
  <c r="AW47" i="9" s="1"/>
  <c r="AW76" i="9"/>
  <c r="AW87" i="9"/>
  <c r="AW92" i="9"/>
  <c r="AW93" i="9" s="1"/>
  <c r="CD32" i="7"/>
  <c r="AX14" i="10"/>
  <c r="AX34" i="9"/>
  <c r="AX38" i="9" s="1"/>
  <c r="AX43" i="9" s="1"/>
  <c r="AX47" i="9" s="1"/>
  <c r="AX76" i="9"/>
  <c r="AX87" i="9"/>
  <c r="AX92" i="9"/>
  <c r="AX93" i="9" s="1"/>
  <c r="CE32" i="7"/>
  <c r="AY34" i="9"/>
  <c r="AY38" i="9" s="1"/>
  <c r="AY76" i="9"/>
  <c r="AY87" i="9"/>
  <c r="AY92" i="9"/>
  <c r="AY93" i="9" s="1"/>
  <c r="CF32" i="7"/>
  <c r="AZ14" i="10"/>
  <c r="AZ34" i="9"/>
  <c r="AZ38" i="9" s="1"/>
  <c r="AZ43" i="9" s="1"/>
  <c r="AZ47" i="9" s="1"/>
  <c r="AZ76" i="9"/>
  <c r="AZ87" i="9"/>
  <c r="AZ92" i="9"/>
  <c r="AZ93" i="9" s="1"/>
  <c r="CG32" i="7"/>
  <c r="BA34" i="9"/>
  <c r="BA38" i="9" s="1"/>
  <c r="BA76" i="9"/>
  <c r="BA87" i="9"/>
  <c r="BA92" i="9"/>
  <c r="BA93" i="9" s="1"/>
  <c r="CH32" i="7"/>
  <c r="BB14" i="10"/>
  <c r="BB34" i="9"/>
  <c r="BB38" i="9" s="1"/>
  <c r="BB76" i="9"/>
  <c r="BB87" i="9"/>
  <c r="BB92" i="9"/>
  <c r="BB93" i="9" s="1"/>
  <c r="CI32" i="7"/>
  <c r="BC34" i="9"/>
  <c r="BC38" i="9" s="1"/>
  <c r="BC76" i="9"/>
  <c r="BC87" i="9"/>
  <c r="BC92" i="9"/>
  <c r="BC93" i="9" s="1"/>
  <c r="CJ32" i="7"/>
  <c r="BD14" i="10"/>
  <c r="BD34" i="9"/>
  <c r="BD38" i="9" s="1"/>
  <c r="BD76" i="9"/>
  <c r="BD87" i="9"/>
  <c r="BD92" i="9"/>
  <c r="BD93" i="9" s="1"/>
  <c r="CK32" i="7"/>
  <c r="BE34" i="9"/>
  <c r="BE38" i="9" s="1"/>
  <c r="BE76" i="9"/>
  <c r="BE87" i="9"/>
  <c r="BE92" i="9"/>
  <c r="BE93" i="9" s="1"/>
  <c r="CL32" i="7"/>
  <c r="BF34" i="9"/>
  <c r="BF38" i="9" s="1"/>
  <c r="BF76" i="9"/>
  <c r="BF87" i="9"/>
  <c r="BF92" i="9"/>
  <c r="BF93" i="9" s="1"/>
  <c r="CM32" i="7"/>
  <c r="BG34" i="9"/>
  <c r="BG38" i="9" s="1"/>
  <c r="BG76" i="9"/>
  <c r="BG87" i="9"/>
  <c r="BG92" i="9"/>
  <c r="BG93" i="9" s="1"/>
  <c r="CN32" i="7"/>
  <c r="BH34" i="9"/>
  <c r="BH38" i="9" s="1"/>
  <c r="BH76" i="9"/>
  <c r="BH87" i="9"/>
  <c r="BH92" i="9"/>
  <c r="BH93" i="9" s="1"/>
  <c r="BI94" i="9" s="1"/>
  <c r="CO32" i="7"/>
  <c r="J28" i="9"/>
  <c r="O32" i="5"/>
  <c r="I32" i="9"/>
  <c r="N32" i="5"/>
  <c r="L32" i="9"/>
  <c r="Q32" i="5"/>
  <c r="X14" i="10"/>
  <c r="Y14" i="10"/>
  <c r="Y87" i="9"/>
  <c r="Z87" i="9"/>
  <c r="AA87" i="9"/>
  <c r="AB87" i="9"/>
  <c r="AC14" i="10"/>
  <c r="AC87" i="9"/>
  <c r="AD87" i="9"/>
  <c r="AE87" i="9"/>
  <c r="H40" i="9"/>
  <c r="I40" i="9"/>
  <c r="J40" i="9"/>
  <c r="K40" i="9"/>
  <c r="K49" i="9"/>
  <c r="J64" i="9"/>
  <c r="Y70" i="9"/>
  <c r="Y71" i="9"/>
  <c r="Y73" i="9" s="1"/>
  <c r="Q69" i="5"/>
  <c r="D86" i="9"/>
  <c r="E86" i="9"/>
  <c r="F76" i="9"/>
  <c r="F86" i="9"/>
  <c r="G86" i="9"/>
  <c r="H86" i="9"/>
  <c r="I86" i="9"/>
  <c r="K86" i="9"/>
  <c r="L86" i="9"/>
  <c r="AV76" i="9"/>
  <c r="AV86" i="9"/>
  <c r="AW86" i="9"/>
  <c r="AN21" i="10"/>
  <c r="AN80" i="9"/>
  <c r="AU80" i="9"/>
  <c r="X58" i="9"/>
  <c r="Z58" i="9"/>
  <c r="AB58" i="9"/>
  <c r="AD58" i="9"/>
  <c r="AF58" i="9"/>
  <c r="AH58" i="9"/>
  <c r="AJ58" i="9"/>
  <c r="CE44" i="5"/>
  <c r="C62" i="9"/>
  <c r="D62" i="9"/>
  <c r="E62" i="9"/>
  <c r="AB63" i="9"/>
  <c r="F62" i="9"/>
  <c r="AF63" i="9"/>
  <c r="G62" i="9"/>
  <c r="AJ63" i="9"/>
  <c r="H62" i="9"/>
  <c r="AN63" i="9"/>
  <c r="AR63" i="9"/>
  <c r="K62" i="9"/>
  <c r="BD63" i="9"/>
  <c r="Z70" i="9"/>
  <c r="Z71" i="9"/>
  <c r="Z128" i="9"/>
  <c r="AA70" i="9"/>
  <c r="AA71" i="9"/>
  <c r="AA128" i="9"/>
  <c r="AB70" i="9"/>
  <c r="AB71" i="9"/>
  <c r="AB128" i="9"/>
  <c r="AC70" i="9"/>
  <c r="AC71" i="9"/>
  <c r="AC128" i="9"/>
  <c r="AD70" i="9"/>
  <c r="AD71" i="9"/>
  <c r="AD128" i="9"/>
  <c r="AE70" i="9"/>
  <c r="AE71" i="9"/>
  <c r="AE128" i="9"/>
  <c r="AF70" i="9"/>
  <c r="AF71" i="9"/>
  <c r="AF128" i="9"/>
  <c r="AG70" i="9"/>
  <c r="AG71" i="9"/>
  <c r="AG128" i="9"/>
  <c r="AH70" i="9"/>
  <c r="AH71" i="9"/>
  <c r="AH128" i="9"/>
  <c r="AI70" i="9"/>
  <c r="AI71" i="9"/>
  <c r="AI128" i="9"/>
  <c r="AJ70" i="9"/>
  <c r="AJ71" i="9"/>
  <c r="AJ128" i="9"/>
  <c r="AK70" i="9"/>
  <c r="AK71" i="9"/>
  <c r="AK128" i="9"/>
  <c r="AM70" i="9"/>
  <c r="AM71" i="9"/>
  <c r="AN70" i="9"/>
  <c r="AN71" i="9"/>
  <c r="AN128" i="9"/>
  <c r="AO70" i="9"/>
  <c r="AO71" i="9"/>
  <c r="AO128" i="9"/>
  <c r="AP70" i="9"/>
  <c r="AP71" i="9"/>
  <c r="AP128" i="9"/>
  <c r="AQ70" i="9"/>
  <c r="AQ71" i="9"/>
  <c r="AQ128" i="9"/>
  <c r="AS70" i="9"/>
  <c r="AS71" i="9"/>
  <c r="AT71" i="9"/>
  <c r="AU70" i="9"/>
  <c r="AU71" i="9"/>
  <c r="AW71" i="9"/>
  <c r="AZ70" i="9"/>
  <c r="BA70" i="9"/>
  <c r="BB70" i="9"/>
  <c r="BC70" i="9"/>
  <c r="BC71" i="9"/>
  <c r="BG70" i="9"/>
  <c r="BG71" i="9"/>
  <c r="BH128" i="9"/>
  <c r="Z72" i="9"/>
  <c r="Z130" i="9"/>
  <c r="AA72" i="9"/>
  <c r="AA130" i="9"/>
  <c r="AB72" i="9"/>
  <c r="AB130" i="9"/>
  <c r="AC72" i="9"/>
  <c r="AC130" i="9"/>
  <c r="AD72" i="9"/>
  <c r="AD130" i="9"/>
  <c r="AE72" i="9"/>
  <c r="AE130" i="9"/>
  <c r="AF72" i="9"/>
  <c r="AF130" i="9"/>
  <c r="AG72" i="9"/>
  <c r="AG130" i="9"/>
  <c r="AH72" i="9"/>
  <c r="AH130" i="9"/>
  <c r="AI72" i="9"/>
  <c r="AI130" i="9"/>
  <c r="AJ72" i="9"/>
  <c r="AJ130" i="9"/>
  <c r="AK72" i="9"/>
  <c r="AK130" i="9"/>
  <c r="AL72" i="9"/>
  <c r="AL130" i="9"/>
  <c r="AM72" i="9"/>
  <c r="AM130" i="9"/>
  <c r="AN72" i="9"/>
  <c r="AN130" i="9"/>
  <c r="AO72" i="9"/>
  <c r="AP72" i="9"/>
  <c r="AQ72" i="9"/>
  <c r="AQ130" i="9"/>
  <c r="AR72" i="9"/>
  <c r="AR130" i="9"/>
  <c r="AS130" i="9"/>
  <c r="AU72" i="9"/>
  <c r="AX72" i="9"/>
  <c r="BA72" i="9"/>
  <c r="BB72" i="9"/>
  <c r="BE72" i="9"/>
  <c r="BF72" i="9"/>
  <c r="D108" i="9"/>
  <c r="E108" i="9"/>
  <c r="F108" i="9"/>
  <c r="G108" i="9"/>
  <c r="J108" i="9"/>
  <c r="K108" i="9"/>
  <c r="L108" i="9"/>
  <c r="AR108" i="9"/>
  <c r="AS108" i="9"/>
  <c r="AT108" i="9"/>
  <c r="AU108" i="9"/>
  <c r="Y110" i="9"/>
  <c r="Z110" i="9"/>
  <c r="AA110" i="9"/>
  <c r="AB110" i="9"/>
  <c r="AC110" i="9"/>
  <c r="AD110" i="9"/>
  <c r="O69" i="7"/>
  <c r="H79" i="6"/>
  <c r="I79" i="6"/>
  <c r="J79" i="6"/>
  <c r="K79" i="6"/>
  <c r="L79" i="6"/>
  <c r="M79" i="6"/>
  <c r="CB79" i="6"/>
  <c r="N79" i="6" s="1"/>
  <c r="CF79" i="6"/>
  <c r="O79" i="6" s="1"/>
  <c r="CJ79" i="6"/>
  <c r="P79" i="6" s="1"/>
  <c r="CN79" i="6"/>
  <c r="Q79" i="6" s="1"/>
  <c r="BZ104" i="6"/>
  <c r="CA104" i="6"/>
  <c r="CH104" i="6"/>
  <c r="CI104" i="6"/>
  <c r="CJ104" i="6"/>
  <c r="CM104" i="6"/>
  <c r="CN104" i="6"/>
  <c r="R34" i="7"/>
  <c r="T34" i="7"/>
  <c r="AE110" i="9"/>
  <c r="AF110" i="9"/>
  <c r="AG110" i="9"/>
  <c r="AH110" i="9"/>
  <c r="AI110" i="9"/>
  <c r="AJ110" i="9"/>
  <c r="AK110" i="9"/>
  <c r="AL110" i="9"/>
  <c r="AM110" i="9"/>
  <c r="AN110" i="9"/>
  <c r="AO110" i="9"/>
  <c r="AP110" i="9"/>
  <c r="AQ110" i="9"/>
  <c r="AR110" i="9"/>
  <c r="AS110" i="9"/>
  <c r="AT110" i="9"/>
  <c r="AU110" i="9"/>
  <c r="AV110" i="9"/>
  <c r="AW110" i="9"/>
  <c r="AX110" i="9"/>
  <c r="AY110" i="9"/>
  <c r="AZ110" i="9"/>
  <c r="BA110" i="9"/>
  <c r="BB110" i="9"/>
  <c r="BC110" i="9"/>
  <c r="BD110" i="9"/>
  <c r="BE110" i="9"/>
  <c r="BF110" i="9"/>
  <c r="BG110" i="9"/>
  <c r="BH110" i="9"/>
  <c r="P86" i="7"/>
  <c r="Q86" i="7"/>
  <c r="H104" i="9"/>
  <c r="BE104" i="9"/>
  <c r="O28" i="7"/>
  <c r="AR18" i="10"/>
  <c r="R81" i="7"/>
  <c r="T81" i="7"/>
  <c r="I77" i="6"/>
  <c r="N75" i="6"/>
  <c r="N77" i="6" s="1"/>
  <c r="M24" i="7"/>
  <c r="AT18" i="10"/>
  <c r="P44" i="7"/>
  <c r="Q44" i="7"/>
  <c r="Y63" i="9"/>
  <c r="Y20" i="10"/>
  <c r="Z63" i="9"/>
  <c r="AA63" i="9"/>
  <c r="AA20" i="10"/>
  <c r="AC63" i="9"/>
  <c r="AC20" i="10"/>
  <c r="AD63" i="9"/>
  <c r="AE63" i="9"/>
  <c r="AG63" i="9"/>
  <c r="AH63" i="9"/>
  <c r="AI63" i="9"/>
  <c r="AK63" i="9"/>
  <c r="AL63" i="9"/>
  <c r="AM63" i="9"/>
  <c r="AO63" i="9"/>
  <c r="AP63" i="9"/>
  <c r="AQ63" i="9"/>
  <c r="AW63" i="9"/>
  <c r="BA63" i="9"/>
  <c r="BB63" i="9"/>
  <c r="BC63" i="9"/>
  <c r="BE63" i="9"/>
  <c r="H128" i="9"/>
  <c r="F130" i="9"/>
  <c r="G130" i="9"/>
  <c r="H130" i="9"/>
  <c r="BC72" i="9" l="1"/>
  <c r="BC130" i="9"/>
  <c r="AL128" i="9"/>
  <c r="BA138" i="9"/>
  <c r="BD70" i="9"/>
  <c r="AL71" i="9"/>
  <c r="AW14" i="10"/>
  <c r="AT138" i="9"/>
  <c r="AL70" i="9"/>
  <c r="BC116" i="9"/>
  <c r="AX130" i="9"/>
  <c r="AY127" i="9"/>
  <c r="AX114" i="9"/>
  <c r="AP130" i="9"/>
  <c r="BH138" i="9"/>
  <c r="BD138" i="9"/>
  <c r="BB138" i="9"/>
  <c r="AQ138" i="9"/>
  <c r="CE22" i="7"/>
  <c r="G63" i="9"/>
  <c r="BJ87" i="9"/>
  <c r="P104" i="6"/>
  <c r="G61" i="9"/>
  <c r="AT130" i="9"/>
  <c r="BF138" i="9"/>
  <c r="BC138" i="9"/>
  <c r="AQ61" i="9"/>
  <c r="F138" i="9"/>
  <c r="F63" i="9"/>
  <c r="H121" i="9"/>
  <c r="AX70" i="9"/>
  <c r="BH18" i="10"/>
  <c r="Q41" i="7"/>
  <c r="AR61" i="9"/>
  <c r="I108" i="9"/>
  <c r="AR138" i="9"/>
  <c r="H63" i="9"/>
  <c r="S82" i="7"/>
  <c r="Z20" i="10"/>
  <c r="F61" i="9"/>
  <c r="AE20" i="10"/>
  <c r="AS18" i="10"/>
  <c r="BF14" i="10"/>
  <c r="BH146" i="9"/>
  <c r="H145" i="9"/>
  <c r="E123" i="9"/>
  <c r="F131" i="9"/>
  <c r="F77" i="9" s="1"/>
  <c r="Q23" i="7"/>
  <c r="K23" i="7"/>
  <c r="S69" i="7"/>
  <c r="D61" i="9"/>
  <c r="AV129" i="9"/>
  <c r="CA21" i="7"/>
  <c r="CA59" i="5"/>
  <c r="D78" i="9"/>
  <c r="C78" i="9"/>
  <c r="CI21" i="7"/>
  <c r="CI59" i="5" s="1"/>
  <c r="AZ61" i="9"/>
  <c r="H138" i="9"/>
  <c r="E61" i="9"/>
  <c r="H76" i="9"/>
  <c r="DV20" i="5"/>
  <c r="DW20" i="5" s="1"/>
  <c r="DX20" i="5" s="1"/>
  <c r="BD116" i="9"/>
  <c r="BD129" i="9"/>
  <c r="BE130" i="9" s="1"/>
  <c r="C122" i="9"/>
  <c r="C97" i="9"/>
  <c r="L39" i="7"/>
  <c r="BZ21" i="7"/>
  <c r="BZ59" i="5"/>
  <c r="M41" i="7"/>
  <c r="M39" i="7"/>
  <c r="G97" i="9"/>
  <c r="G122" i="9"/>
  <c r="L52" i="7"/>
  <c r="L41" i="7"/>
  <c r="BH70" i="9"/>
  <c r="BD128" i="9"/>
  <c r="AZ128" i="9"/>
  <c r="G76" i="9"/>
  <c r="E76" i="9"/>
  <c r="M62" i="6"/>
  <c r="P69" i="5"/>
  <c r="I115" i="9"/>
  <c r="N68" i="5"/>
  <c r="O68" i="5"/>
  <c r="O22" i="7" s="1"/>
  <c r="CB21" i="7"/>
  <c r="J38" i="7"/>
  <c r="J41" i="7"/>
  <c r="J39" i="7"/>
  <c r="D97" i="9"/>
  <c r="D122" i="9"/>
  <c r="CI69" i="5"/>
  <c r="AZ116" i="9"/>
  <c r="AY129" i="9"/>
  <c r="AZ129" i="9"/>
  <c r="BA130" i="9" s="1"/>
  <c r="CG21" i="7"/>
  <c r="CG59" i="5" s="1"/>
  <c r="J97" i="9"/>
  <c r="O52" i="7"/>
  <c r="J122" i="9"/>
  <c r="BF130" i="9"/>
  <c r="BB130" i="9"/>
  <c r="AU130" i="9"/>
  <c r="AV130" i="9"/>
  <c r="BI131" i="9"/>
  <c r="BH98" i="9"/>
  <c r="BH120" i="9"/>
  <c r="BH123" i="9"/>
  <c r="AW70" i="9"/>
  <c r="AW128" i="9"/>
  <c r="AD20" i="10"/>
  <c r="AB20" i="10"/>
  <c r="BG18" i="10"/>
  <c r="F18" i="10"/>
  <c r="F16" i="10"/>
  <c r="F17" i="10"/>
  <c r="BF128" i="9"/>
  <c r="BE70" i="9"/>
  <c r="AX128" i="9"/>
  <c r="F21" i="10"/>
  <c r="BE14" i="10"/>
  <c r="BH119" i="9"/>
  <c r="BI98" i="9"/>
  <c r="P41" i="7"/>
  <c r="AY116" i="9"/>
  <c r="BF71" i="9"/>
  <c r="BG128" i="9"/>
  <c r="BB71" i="9"/>
  <c r="BC128" i="9"/>
  <c r="AT70" i="9"/>
  <c r="AT128" i="9"/>
  <c r="AV70" i="9"/>
  <c r="AV128" i="9"/>
  <c r="CM69" i="5"/>
  <c r="BG116" i="9"/>
  <c r="BH116" i="9"/>
  <c r="BG129" i="9"/>
  <c r="BH129" i="9"/>
  <c r="CK21" i="7"/>
  <c r="CK59" i="5" s="1"/>
  <c r="BN158" i="9"/>
  <c r="BO158" i="9" s="1"/>
  <c r="BP158" i="9" s="1"/>
  <c r="BQ158" i="9" s="1"/>
  <c r="Y20" i="5"/>
  <c r="D163" i="9"/>
  <c r="H134" i="9"/>
  <c r="F134" i="9"/>
  <c r="D134" i="9"/>
  <c r="BK85" i="9"/>
  <c r="BL85" i="9"/>
  <c r="E63" i="9"/>
  <c r="J78" i="9"/>
  <c r="K76" i="9"/>
  <c r="L60" i="9"/>
  <c r="AZ138" i="9"/>
  <c r="AX138" i="9"/>
  <c r="K147" i="9"/>
  <c r="K60" i="9"/>
  <c r="AR71" i="9"/>
  <c r="AR70" i="9"/>
  <c r="BY22" i="7"/>
  <c r="BY69" i="5"/>
  <c r="CN69" i="5"/>
  <c r="CF69" i="5"/>
  <c r="CC21" i="7"/>
  <c r="CC59" i="5" s="1"/>
  <c r="L128" i="9"/>
  <c r="BE128" i="9"/>
  <c r="BA128" i="9"/>
  <c r="AS128" i="9"/>
  <c r="AV80" i="9"/>
  <c r="Q22" i="7"/>
  <c r="L87" i="9"/>
  <c r="AY138" i="9"/>
  <c r="AW61" i="9"/>
  <c r="CA22" i="7"/>
  <c r="CA69" i="5"/>
  <c r="CD21" i="7"/>
  <c r="CD59" i="5" s="1"/>
  <c r="CJ69" i="5"/>
  <c r="CB69" i="5"/>
  <c r="CO21" i="7"/>
  <c r="CO59" i="5" s="1"/>
  <c r="K97" i="9"/>
  <c r="P38" i="7"/>
  <c r="K122" i="9"/>
  <c r="P52" i="7"/>
  <c r="P39" i="7"/>
  <c r="K114" i="9"/>
  <c r="L76" i="9"/>
  <c r="I76" i="9"/>
  <c r="J84" i="9"/>
  <c r="K136" i="9"/>
  <c r="K78" i="9"/>
  <c r="K70" i="9"/>
  <c r="AU134" i="9"/>
  <c r="J136" i="9"/>
  <c r="DL24" i="5"/>
  <c r="DD25" i="6"/>
  <c r="DC25" i="6"/>
  <c r="DE24" i="5"/>
  <c r="DE43" i="6"/>
  <c r="DI23" i="5"/>
  <c r="DE44" i="6"/>
  <c r="DE26" i="6"/>
  <c r="DH44" i="6"/>
  <c r="V44" i="6" s="1"/>
  <c r="DH43" i="6"/>
  <c r="V43" i="6" s="1"/>
  <c r="DH26" i="6"/>
  <c r="V26" i="6" s="1"/>
  <c r="DF44" i="6"/>
  <c r="DF43" i="6"/>
  <c r="DF26" i="6"/>
  <c r="DG44" i="6"/>
  <c r="DG43" i="6"/>
  <c r="DG26" i="6"/>
  <c r="DB25" i="6"/>
  <c r="DA25" i="6"/>
  <c r="DA45" i="6"/>
  <c r="DD45" i="6"/>
  <c r="U45" i="6" s="1"/>
  <c r="U82" i="7" s="1"/>
  <c r="DB45" i="6"/>
  <c r="DC45" i="6"/>
  <c r="H61" i="9"/>
  <c r="J65" i="9"/>
  <c r="J60" i="9" s="1"/>
  <c r="CV65" i="5"/>
  <c r="CP59" i="7"/>
  <c r="K116" i="9"/>
  <c r="L116" i="9"/>
  <c r="L129" i="9"/>
  <c r="K129" i="9"/>
  <c r="BI138" i="9"/>
  <c r="BI68" i="9"/>
  <c r="BH61" i="9"/>
  <c r="BI61" i="9"/>
  <c r="BI149" i="9"/>
  <c r="BI150" i="9" s="1"/>
  <c r="BI156" i="9" s="1"/>
  <c r="BI155" i="9"/>
  <c r="BI14" i="10"/>
  <c r="BI21" i="10"/>
  <c r="BI16" i="10"/>
  <c r="BI9" i="10"/>
  <c r="BI20" i="10"/>
  <c r="BI15" i="10"/>
  <c r="BI8" i="10"/>
  <c r="BI77" i="9"/>
  <c r="BI69" i="9"/>
  <c r="BI18" i="10"/>
  <c r="BI13" i="10"/>
  <c r="BI23" i="10"/>
  <c r="BI17" i="10"/>
  <c r="BI11" i="10"/>
  <c r="BI74" i="9"/>
  <c r="BI132" i="9"/>
  <c r="BI25" i="10" s="1"/>
  <c r="AZ80" i="9"/>
  <c r="AX80" i="9"/>
  <c r="AW80" i="9"/>
  <c r="BK87" i="9"/>
  <c r="CR32" i="7"/>
  <c r="CB46" i="7"/>
  <c r="CA47" i="7"/>
  <c r="BY47" i="7"/>
  <c r="CG47" i="7"/>
  <c r="CH46" i="7"/>
  <c r="CH47" i="7"/>
  <c r="CM46" i="7"/>
  <c r="CM47" i="7"/>
  <c r="J45" i="7"/>
  <c r="J46" i="7" s="1"/>
  <c r="AT22" i="7"/>
  <c r="AD22" i="7"/>
  <c r="AQ21" i="7"/>
  <c r="AP22" i="7"/>
  <c r="AU21" i="7"/>
  <c r="AE21" i="7"/>
  <c r="M23" i="7"/>
  <c r="D129" i="9"/>
  <c r="D116" i="9"/>
  <c r="C129" i="9"/>
  <c r="C72" i="9" s="1"/>
  <c r="C73" i="9" s="1"/>
  <c r="K21" i="7"/>
  <c r="H136" i="9"/>
  <c r="F136" i="9"/>
  <c r="D136" i="9"/>
  <c r="AL22" i="7"/>
  <c r="AY21" i="7"/>
  <c r="AI21" i="7"/>
  <c r="AX22" i="7"/>
  <c r="AH22" i="7"/>
  <c r="AM21" i="7"/>
  <c r="J21" i="7"/>
  <c r="F127" i="9"/>
  <c r="E127" i="9"/>
  <c r="F114" i="9"/>
  <c r="E114" i="9"/>
  <c r="L23" i="7"/>
  <c r="AO61" i="9"/>
  <c r="BB22" i="7"/>
  <c r="CR65" i="5"/>
  <c r="U34" i="7"/>
  <c r="U81" i="7"/>
  <c r="V23" i="5"/>
  <c r="CQ55" i="5"/>
  <c r="CQ57" i="5" s="1"/>
  <c r="R59" i="7"/>
  <c r="BJ135" i="9"/>
  <c r="BJ136" i="9" s="1"/>
  <c r="CP55" i="5"/>
  <c r="CP57" i="5" s="1"/>
  <c r="T20" i="5"/>
  <c r="BK30" i="9"/>
  <c r="R18" i="5"/>
  <c r="AO138" i="9"/>
  <c r="D138" i="9"/>
  <c r="L134" i="9"/>
  <c r="G134" i="9"/>
  <c r="E134" i="9"/>
  <c r="L136" i="9"/>
  <c r="I136" i="9"/>
  <c r="G136" i="9"/>
  <c r="E136" i="9"/>
  <c r="AD32" i="9"/>
  <c r="AD54" i="9"/>
  <c r="AJ54" i="9"/>
  <c r="AB32" i="9"/>
  <c r="AB54" i="9"/>
  <c r="CN59" i="7"/>
  <c r="CN23" i="7"/>
  <c r="CJ59" i="7"/>
  <c r="CJ23" i="7"/>
  <c r="CF59" i="7"/>
  <c r="CF23" i="7"/>
  <c r="CB59" i="7"/>
  <c r="BX59" i="7"/>
  <c r="BX23" i="7"/>
  <c r="BT59" i="7"/>
  <c r="BT23" i="7"/>
  <c r="BP59" i="7"/>
  <c r="BP23" i="7"/>
  <c r="BL59" i="7"/>
  <c r="BL23" i="7"/>
  <c r="BH61" i="7"/>
  <c r="BH23" i="7"/>
  <c r="K109" i="9"/>
  <c r="I109" i="9"/>
  <c r="L60" i="6"/>
  <c r="G109" i="9"/>
  <c r="J60" i="6"/>
  <c r="E109" i="9"/>
  <c r="H60" i="6"/>
  <c r="C109" i="9"/>
  <c r="D110" i="9" s="1"/>
  <c r="R40" i="6"/>
  <c r="R41" i="6"/>
  <c r="BJ31" i="9"/>
  <c r="R19" i="5"/>
  <c r="BM26" i="9"/>
  <c r="BN85" i="9" s="1"/>
  <c r="T54" i="6"/>
  <c r="CL23" i="7"/>
  <c r="CL59" i="7"/>
  <c r="CH23" i="7"/>
  <c r="CH59" i="7"/>
  <c r="CD23" i="7"/>
  <c r="CD59" i="7"/>
  <c r="BZ23" i="7"/>
  <c r="BZ59" i="7"/>
  <c r="BV23" i="7"/>
  <c r="BV59" i="7"/>
  <c r="BR23" i="7"/>
  <c r="BR59" i="7"/>
  <c r="BN23" i="7"/>
  <c r="BN59" i="7"/>
  <c r="BJ23" i="7"/>
  <c r="BJ59" i="7"/>
  <c r="BF23" i="7"/>
  <c r="BF61" i="7"/>
  <c r="R28" i="6"/>
  <c r="CB23" i="7"/>
  <c r="D63" i="9"/>
  <c r="AH54" i="9"/>
  <c r="Z32" i="9"/>
  <c r="Z54" i="9"/>
  <c r="AF54" i="9"/>
  <c r="X32" i="9"/>
  <c r="X54" i="9"/>
  <c r="CO59" i="7"/>
  <c r="CO23" i="7"/>
  <c r="CK59" i="7"/>
  <c r="CK23" i="7"/>
  <c r="CG59" i="7"/>
  <c r="CG23" i="7"/>
  <c r="CC59" i="7"/>
  <c r="CC23" i="7"/>
  <c r="BY23" i="7"/>
  <c r="BY59" i="7"/>
  <c r="BU23" i="7"/>
  <c r="BU59" i="7"/>
  <c r="BQ23" i="7"/>
  <c r="BQ59" i="7"/>
  <c r="BM23" i="7"/>
  <c r="BM59" i="7"/>
  <c r="BI23" i="7"/>
  <c r="BI59" i="7"/>
  <c r="CS65" i="5"/>
  <c r="T56" i="6"/>
  <c r="R39" i="6"/>
  <c r="BK31" i="9"/>
  <c r="BK105" i="9"/>
  <c r="R17" i="6"/>
  <c r="CM23" i="7"/>
  <c r="CM59" i="7"/>
  <c r="CI23" i="7"/>
  <c r="CI59" i="7"/>
  <c r="CE59" i="7"/>
  <c r="CE23" i="7"/>
  <c r="CA59" i="7"/>
  <c r="CA23" i="7"/>
  <c r="BW59" i="7"/>
  <c r="BW23" i="7"/>
  <c r="BS59" i="7"/>
  <c r="BS23" i="7"/>
  <c r="BO59" i="7"/>
  <c r="BO23" i="7"/>
  <c r="BK59" i="7"/>
  <c r="BK23" i="7"/>
  <c r="BG61" i="7"/>
  <c r="BG23" i="7"/>
  <c r="J23" i="7"/>
  <c r="R30" i="5"/>
  <c r="R12" i="6"/>
  <c r="AX65" i="9"/>
  <c r="AX60" i="9" s="1"/>
  <c r="CD109" i="6"/>
  <c r="CE45" i="5"/>
  <c r="CF45" i="5"/>
  <c r="CE46" i="5"/>
  <c r="CF46" i="5"/>
  <c r="R105" i="6"/>
  <c r="R52" i="6"/>
  <c r="DA52" i="6"/>
  <c r="DB52" i="6" s="1"/>
  <c r="DC52" i="6" s="1"/>
  <c r="DD52" i="6" s="1"/>
  <c r="DE52" i="6" s="1"/>
  <c r="DF52" i="6" s="1"/>
  <c r="DG52" i="6" s="1"/>
  <c r="DH52" i="6" s="1"/>
  <c r="DI52" i="6" s="1"/>
  <c r="DJ52" i="6" s="1"/>
  <c r="DK52" i="6" s="1"/>
  <c r="DL52" i="6" s="1"/>
  <c r="DM52" i="6" s="1"/>
  <c r="DN52" i="6" s="1"/>
  <c r="DO52" i="6" s="1"/>
  <c r="DP52" i="6" s="1"/>
  <c r="DQ52" i="6" s="1"/>
  <c r="DR52" i="6" s="1"/>
  <c r="DS52" i="6" s="1"/>
  <c r="DT52" i="6" s="1"/>
  <c r="R91" i="6"/>
  <c r="J76" i="9"/>
  <c r="J86" i="9"/>
  <c r="BH75" i="9"/>
  <c r="BH94" i="9"/>
  <c r="BH43" i="9"/>
  <c r="BH47" i="9" s="1"/>
  <c r="BI88" i="9" s="1"/>
  <c r="BH80" i="9"/>
  <c r="BG75" i="9"/>
  <c r="BG94" i="9"/>
  <c r="BG43" i="9"/>
  <c r="BG47" i="9" s="1"/>
  <c r="BG80" i="9"/>
  <c r="BF75" i="9"/>
  <c r="BF94" i="9"/>
  <c r="BF43" i="9"/>
  <c r="BF47" i="9" s="1"/>
  <c r="BF80" i="9"/>
  <c r="BE75" i="9"/>
  <c r="BE94" i="9"/>
  <c r="BE43" i="9"/>
  <c r="BE47" i="9" s="1"/>
  <c r="BE80" i="9"/>
  <c r="BD75" i="9"/>
  <c r="BD94" i="9"/>
  <c r="BD43" i="9"/>
  <c r="BD47" i="9" s="1"/>
  <c r="BD80" i="9"/>
  <c r="BC75" i="9"/>
  <c r="BC94" i="9"/>
  <c r="BC43" i="9"/>
  <c r="BC47" i="9" s="1"/>
  <c r="BC80" i="9"/>
  <c r="BB75" i="9"/>
  <c r="BB94" i="9"/>
  <c r="BB43" i="9"/>
  <c r="BB47" i="9" s="1"/>
  <c r="BB80" i="9"/>
  <c r="BA75" i="9"/>
  <c r="BA94" i="9"/>
  <c r="BA43" i="9"/>
  <c r="BA47" i="9" s="1"/>
  <c r="BA80" i="9"/>
  <c r="AZ75" i="9"/>
  <c r="AZ94" i="9"/>
  <c r="AZ51" i="9"/>
  <c r="AZ68" i="9"/>
  <c r="AZ69" i="9"/>
  <c r="AY75" i="9"/>
  <c r="AY94" i="9"/>
  <c r="AY43" i="9"/>
  <c r="AY47" i="9" s="1"/>
  <c r="AY80" i="9"/>
  <c r="AX75" i="9"/>
  <c r="AX94" i="9"/>
  <c r="AX51" i="9"/>
  <c r="AX68" i="9"/>
  <c r="AX69" i="9"/>
  <c r="AX88" i="9"/>
  <c r="AW75" i="9"/>
  <c r="AW94" i="9"/>
  <c r="AW51" i="9"/>
  <c r="AW68" i="9"/>
  <c r="AW69" i="9"/>
  <c r="AW88" i="9"/>
  <c r="AV75" i="9"/>
  <c r="AV94" i="9"/>
  <c r="AV88" i="9"/>
  <c r="AU75" i="9"/>
  <c r="AU94" i="9"/>
  <c r="AT75" i="9"/>
  <c r="AT94" i="9"/>
  <c r="AT43" i="9"/>
  <c r="AT47" i="9" s="1"/>
  <c r="AU88" i="9" s="1"/>
  <c r="AT80" i="9"/>
  <c r="AS75" i="9"/>
  <c r="AS94" i="9"/>
  <c r="AS43" i="9"/>
  <c r="AS47" i="9" s="1"/>
  <c r="AS80" i="9"/>
  <c r="AR75" i="9"/>
  <c r="AR94" i="9"/>
  <c r="AR43" i="9"/>
  <c r="AR47" i="9" s="1"/>
  <c r="AR80" i="9"/>
  <c r="AQ75" i="9"/>
  <c r="AQ94" i="9"/>
  <c r="AQ43" i="9"/>
  <c r="AQ47" i="9" s="1"/>
  <c r="AQ80" i="9"/>
  <c r="AP75" i="9"/>
  <c r="AP94" i="9"/>
  <c r="AP43" i="9"/>
  <c r="AP47" i="9" s="1"/>
  <c r="AP80" i="9"/>
  <c r="AO75" i="9"/>
  <c r="AO94" i="9"/>
  <c r="AO43" i="9"/>
  <c r="AO47" i="9" s="1"/>
  <c r="AO80" i="9"/>
  <c r="AN75" i="9"/>
  <c r="AN94" i="9"/>
  <c r="AN51" i="9"/>
  <c r="AN68" i="9"/>
  <c r="AN69" i="9"/>
  <c r="AM75" i="9"/>
  <c r="AM94" i="9"/>
  <c r="AM43" i="9"/>
  <c r="AM47" i="9" s="1"/>
  <c r="AM80" i="9"/>
  <c r="AL75" i="9"/>
  <c r="AL94" i="9"/>
  <c r="AL43" i="9"/>
  <c r="AL47" i="9" s="1"/>
  <c r="AL80" i="9"/>
  <c r="AK75" i="9"/>
  <c r="AK94" i="9"/>
  <c r="AK43" i="9"/>
  <c r="AK47" i="9" s="1"/>
  <c r="AK80" i="9"/>
  <c r="AJ75" i="9"/>
  <c r="AJ94" i="9"/>
  <c r="AJ43" i="9"/>
  <c r="AJ47" i="9" s="1"/>
  <c r="AJ80" i="9"/>
  <c r="AI75" i="9"/>
  <c r="AI94" i="9"/>
  <c r="AI43" i="9"/>
  <c r="AI47" i="9" s="1"/>
  <c r="AI80" i="9"/>
  <c r="AH75" i="9"/>
  <c r="AH94" i="9"/>
  <c r="AH43" i="9"/>
  <c r="AH47" i="9" s="1"/>
  <c r="AH80" i="9"/>
  <c r="AG75" i="9"/>
  <c r="AG94" i="9"/>
  <c r="AG43" i="9"/>
  <c r="AG47" i="9" s="1"/>
  <c r="AG80" i="9"/>
  <c r="AF75" i="9"/>
  <c r="AF43" i="9"/>
  <c r="AF47" i="9" s="1"/>
  <c r="AF80" i="9"/>
  <c r="U65" i="7"/>
  <c r="U80" i="7"/>
  <c r="T65" i="7"/>
  <c r="T80" i="7"/>
  <c r="T25" i="6"/>
  <c r="S25" i="6"/>
  <c r="S64" i="7" s="1"/>
  <c r="R65" i="7"/>
  <c r="R80" i="7"/>
  <c r="R25" i="6"/>
  <c r="AU51" i="9"/>
  <c r="L24" i="9"/>
  <c r="L70" i="9"/>
  <c r="L83" i="9"/>
  <c r="L91" i="9"/>
  <c r="K24" i="9"/>
  <c r="K83" i="9"/>
  <c r="K91" i="9"/>
  <c r="J24" i="9"/>
  <c r="J83" i="9"/>
  <c r="J91" i="9"/>
  <c r="J93" i="9" s="1"/>
  <c r="I24" i="9"/>
  <c r="I83" i="9"/>
  <c r="I91" i="9"/>
  <c r="H24" i="9"/>
  <c r="H34" i="9" s="1"/>
  <c r="H38" i="9" s="1"/>
  <c r="H43" i="9" s="1"/>
  <c r="H47" i="9" s="1"/>
  <c r="H70" i="9"/>
  <c r="H83" i="9"/>
  <c r="H91" i="9"/>
  <c r="G24" i="9"/>
  <c r="G34" i="9" s="1"/>
  <c r="G38" i="9" s="1"/>
  <c r="G70" i="9"/>
  <c r="G83" i="9"/>
  <c r="G91" i="9"/>
  <c r="F24" i="9"/>
  <c r="F34" i="9" s="1"/>
  <c r="F38" i="9" s="1"/>
  <c r="F70" i="9"/>
  <c r="F83" i="9"/>
  <c r="F91" i="9"/>
  <c r="F93" i="9" s="1"/>
  <c r="E24" i="9"/>
  <c r="E34" i="9" s="1"/>
  <c r="E38" i="9" s="1"/>
  <c r="E70" i="9"/>
  <c r="E83" i="9"/>
  <c r="E91" i="9"/>
  <c r="D24" i="9"/>
  <c r="D34" i="9" s="1"/>
  <c r="D38" i="9" s="1"/>
  <c r="D70" i="9"/>
  <c r="D83" i="9"/>
  <c r="D91" i="9"/>
  <c r="C24" i="9"/>
  <c r="C34" i="9" s="1"/>
  <c r="C38" i="9" s="1"/>
  <c r="C70" i="9"/>
  <c r="C91" i="9"/>
  <c r="BD145" i="9"/>
  <c r="BD146" i="9"/>
  <c r="BC145" i="9"/>
  <c r="BC146" i="9"/>
  <c r="BB145" i="9"/>
  <c r="BB146" i="9"/>
  <c r="BA145" i="9"/>
  <c r="BA146" i="9"/>
  <c r="AZ145" i="9"/>
  <c r="AZ146" i="9"/>
  <c r="AY145" i="9"/>
  <c r="AY146" i="9"/>
  <c r="AX145" i="9"/>
  <c r="AX146" i="9"/>
  <c r="AW145" i="9"/>
  <c r="AW146" i="9"/>
  <c r="AV145" i="9"/>
  <c r="AV146" i="9"/>
  <c r="AU145" i="9"/>
  <c r="AU146" i="9"/>
  <c r="AT145" i="9"/>
  <c r="AT146" i="9"/>
  <c r="AS145" i="9"/>
  <c r="AS146" i="9"/>
  <c r="AR145" i="9"/>
  <c r="AR146" i="9"/>
  <c r="AQ145" i="9"/>
  <c r="AQ146" i="9"/>
  <c r="AP145" i="9"/>
  <c r="AP146" i="9"/>
  <c r="AO145" i="9"/>
  <c r="AO146" i="9"/>
  <c r="AN145" i="9"/>
  <c r="AN146" i="9"/>
  <c r="AM145" i="9"/>
  <c r="AM146" i="9"/>
  <c r="AL145" i="9"/>
  <c r="AL146" i="9"/>
  <c r="AK145" i="9"/>
  <c r="AK146" i="9"/>
  <c r="AJ145" i="9"/>
  <c r="AJ146" i="9"/>
  <c r="AI145" i="9"/>
  <c r="AI146" i="9"/>
  <c r="AH145" i="9"/>
  <c r="AH146" i="9"/>
  <c r="AG145" i="9"/>
  <c r="AG146" i="9"/>
  <c r="AF145" i="9"/>
  <c r="AF146" i="9"/>
  <c r="AE145" i="9"/>
  <c r="AE146" i="9"/>
  <c r="AD145" i="9"/>
  <c r="AD146" i="9"/>
  <c r="AC145" i="9"/>
  <c r="AC146" i="9"/>
  <c r="AB145" i="9"/>
  <c r="AB146" i="9"/>
  <c r="AA145" i="9"/>
  <c r="AA146" i="9"/>
  <c r="Z145" i="9"/>
  <c r="Z146" i="9"/>
  <c r="Y145" i="9"/>
  <c r="Y146" i="9"/>
  <c r="BH151" i="9"/>
  <c r="BI152" i="9" s="1"/>
  <c r="BH155" i="9"/>
  <c r="BH149" i="9"/>
  <c r="BG151" i="9"/>
  <c r="BG155" i="9"/>
  <c r="BG149" i="9"/>
  <c r="BF151" i="9"/>
  <c r="BF155" i="9"/>
  <c r="BF149" i="9"/>
  <c r="BE151" i="9"/>
  <c r="BE155" i="9"/>
  <c r="BE149" i="9"/>
  <c r="BD151" i="9"/>
  <c r="BD155" i="9"/>
  <c r="BD149" i="9"/>
  <c r="BC151" i="9"/>
  <c r="BC155" i="9"/>
  <c r="BC149" i="9"/>
  <c r="BB151" i="9"/>
  <c r="BB155" i="9"/>
  <c r="BB149" i="9"/>
  <c r="BA151" i="9"/>
  <c r="BA155" i="9"/>
  <c r="BA149" i="9"/>
  <c r="AZ151" i="9"/>
  <c r="AZ155" i="9"/>
  <c r="AZ149" i="9"/>
  <c r="AY151" i="9"/>
  <c r="AY155" i="9"/>
  <c r="AY149" i="9"/>
  <c r="AX151" i="9"/>
  <c r="AX155" i="9"/>
  <c r="AX149" i="9"/>
  <c r="AW151" i="9"/>
  <c r="AW155" i="9"/>
  <c r="AW149" i="9"/>
  <c r="AV151" i="9"/>
  <c r="AV155" i="9"/>
  <c r="AV149" i="9"/>
  <c r="AU151" i="9"/>
  <c r="AU155" i="9"/>
  <c r="AU149" i="9"/>
  <c r="AT151" i="9"/>
  <c r="AT155" i="9"/>
  <c r="AT149" i="9"/>
  <c r="AS151" i="9"/>
  <c r="AS155" i="9"/>
  <c r="AS149" i="9"/>
  <c r="AR151" i="9"/>
  <c r="AR155" i="9"/>
  <c r="AR149" i="9"/>
  <c r="AQ151" i="9"/>
  <c r="AQ155" i="9"/>
  <c r="AQ149" i="9"/>
  <c r="AP151" i="9"/>
  <c r="AP155" i="9"/>
  <c r="AP149" i="9"/>
  <c r="AO151" i="9"/>
  <c r="AO155" i="9"/>
  <c r="AO149" i="9"/>
  <c r="AN151" i="9"/>
  <c r="AN155" i="9"/>
  <c r="AN149" i="9"/>
  <c r="AM151" i="9"/>
  <c r="AM155" i="9"/>
  <c r="AM149" i="9"/>
  <c r="AL151" i="9"/>
  <c r="AL155" i="9"/>
  <c r="AL149" i="9"/>
  <c r="AK151" i="9"/>
  <c r="AK155" i="9"/>
  <c r="AK149" i="9"/>
  <c r="AJ151" i="9"/>
  <c r="AJ155" i="9"/>
  <c r="AJ149" i="9"/>
  <c r="AI151" i="9"/>
  <c r="AI155" i="9"/>
  <c r="AI149" i="9"/>
  <c r="AH151" i="9"/>
  <c r="AH155" i="9"/>
  <c r="AH149" i="9"/>
  <c r="AG151" i="9"/>
  <c r="AG155" i="9"/>
  <c r="AG149" i="9"/>
  <c r="AF151" i="9"/>
  <c r="AF155" i="9"/>
  <c r="AF149" i="9"/>
  <c r="AE151" i="9"/>
  <c r="AE155" i="9"/>
  <c r="AE149" i="9"/>
  <c r="AD151" i="9"/>
  <c r="AD155" i="9"/>
  <c r="AD149" i="9"/>
  <c r="AC151" i="9"/>
  <c r="AC155" i="9"/>
  <c r="AC149" i="9"/>
  <c r="AB151" i="9"/>
  <c r="AB155" i="9"/>
  <c r="AB149" i="9"/>
  <c r="AA151" i="9"/>
  <c r="AA155" i="9"/>
  <c r="AA149" i="9"/>
  <c r="Z151" i="9"/>
  <c r="Z155" i="9"/>
  <c r="Z149" i="9"/>
  <c r="Y151" i="9"/>
  <c r="Y155" i="9"/>
  <c r="Y149" i="9"/>
  <c r="X151" i="9"/>
  <c r="X150" i="9" s="1"/>
  <c r="M149" i="9"/>
  <c r="L151" i="9"/>
  <c r="L155" i="9"/>
  <c r="L149" i="9"/>
  <c r="K151" i="9"/>
  <c r="K155" i="9"/>
  <c r="K149" i="9"/>
  <c r="J151" i="9"/>
  <c r="J155" i="9"/>
  <c r="J149" i="9"/>
  <c r="I151" i="9"/>
  <c r="I155" i="9"/>
  <c r="I149" i="9"/>
  <c r="H151" i="9"/>
  <c r="H155" i="9"/>
  <c r="H149" i="9"/>
  <c r="G151" i="9"/>
  <c r="G155" i="9"/>
  <c r="G149" i="9"/>
  <c r="F151" i="9"/>
  <c r="F155" i="9"/>
  <c r="F149" i="9"/>
  <c r="E151" i="9"/>
  <c r="E155" i="9"/>
  <c r="E149" i="9"/>
  <c r="D151" i="9"/>
  <c r="D155" i="9"/>
  <c r="D149" i="9"/>
  <c r="C151" i="9"/>
  <c r="C150" i="9" s="1"/>
  <c r="C156" i="9" s="1"/>
  <c r="AV79" i="9"/>
  <c r="AV134" i="9"/>
  <c r="AW134" i="9"/>
  <c r="N31" i="6"/>
  <c r="I100" i="9"/>
  <c r="I121" i="9"/>
  <c r="J133" i="9"/>
  <c r="I141" i="9"/>
  <c r="I145" i="9" s="1"/>
  <c r="AU97" i="9"/>
  <c r="AU122" i="9"/>
  <c r="CC39" i="7"/>
  <c r="CC41" i="7"/>
  <c r="CB52" i="7"/>
  <c r="CB41" i="7"/>
  <c r="CC38" i="7"/>
  <c r="CB39" i="7"/>
  <c r="CB38" i="7"/>
  <c r="M27" i="9"/>
  <c r="Q33" i="5"/>
  <c r="P33" i="5"/>
  <c r="O33" i="5"/>
  <c r="M85" i="9"/>
  <c r="I78" i="9"/>
  <c r="I84" i="9"/>
  <c r="L145" i="9"/>
  <c r="L146" i="9"/>
  <c r="K145" i="9"/>
  <c r="K146" i="9"/>
  <c r="J145" i="9"/>
  <c r="J146" i="9"/>
  <c r="I146" i="9"/>
  <c r="G145" i="9"/>
  <c r="G146" i="9"/>
  <c r="F145" i="9"/>
  <c r="F146" i="9"/>
  <c r="E145" i="9"/>
  <c r="E146" i="9"/>
  <c r="D104" i="9"/>
  <c r="D144" i="9"/>
  <c r="C145" i="9"/>
  <c r="C146" i="9"/>
  <c r="Q62" i="6"/>
  <c r="L112" i="9"/>
  <c r="P62" i="6"/>
  <c r="K112" i="9"/>
  <c r="K123" i="9"/>
  <c r="L137" i="9"/>
  <c r="O62" i="6"/>
  <c r="J123" i="9"/>
  <c r="K137" i="9"/>
  <c r="BH23" i="10"/>
  <c r="BH74" i="9"/>
  <c r="BH77" i="9"/>
  <c r="BH132" i="9"/>
  <c r="BH25" i="10" s="1"/>
  <c r="BH21" i="10"/>
  <c r="BH20" i="10"/>
  <c r="BH17" i="10"/>
  <c r="BH16" i="10"/>
  <c r="BH15" i="10"/>
  <c r="BH13" i="10"/>
  <c r="BH11" i="10"/>
  <c r="BH9" i="10"/>
  <c r="BH8" i="10"/>
  <c r="BG23" i="10"/>
  <c r="BG74" i="9"/>
  <c r="BG77" i="9"/>
  <c r="BG132" i="9"/>
  <c r="BG25" i="10" s="1"/>
  <c r="BG21" i="10"/>
  <c r="BG20" i="10"/>
  <c r="BG17" i="10"/>
  <c r="BG16" i="10"/>
  <c r="BG15" i="10"/>
  <c r="BG13" i="10"/>
  <c r="BG11" i="10"/>
  <c r="BG9" i="10"/>
  <c r="BG8" i="10"/>
  <c r="BF23" i="10"/>
  <c r="BF74" i="9"/>
  <c r="BF77" i="9"/>
  <c r="BF132" i="9"/>
  <c r="BF25" i="10" s="1"/>
  <c r="BF21" i="10"/>
  <c r="BF20" i="10"/>
  <c r="BF17" i="10"/>
  <c r="BF16" i="10"/>
  <c r="BF15" i="10"/>
  <c r="BF13" i="10"/>
  <c r="BF11" i="10"/>
  <c r="BF9" i="10"/>
  <c r="BF8" i="10"/>
  <c r="BE23" i="10"/>
  <c r="BE74" i="9"/>
  <c r="BE77" i="9"/>
  <c r="BE132" i="9"/>
  <c r="BE25" i="10" s="1"/>
  <c r="BE21" i="10"/>
  <c r="BE20" i="10"/>
  <c r="BE17" i="10"/>
  <c r="BE16" i="10"/>
  <c r="BE15" i="10"/>
  <c r="BE13" i="10"/>
  <c r="BE11" i="10"/>
  <c r="BE9" i="10"/>
  <c r="BE8" i="10"/>
  <c r="BD23" i="10"/>
  <c r="BD74" i="9"/>
  <c r="BD77" i="9"/>
  <c r="BD132" i="9"/>
  <c r="BD25" i="10" s="1"/>
  <c r="BD21" i="10"/>
  <c r="BD20" i="10"/>
  <c r="BD18" i="10"/>
  <c r="BD17" i="10"/>
  <c r="BD16" i="10"/>
  <c r="BD15" i="10"/>
  <c r="BD13" i="10"/>
  <c r="BD11" i="10"/>
  <c r="BD9" i="10"/>
  <c r="BD8" i="10"/>
  <c r="BC23" i="10"/>
  <c r="BC74" i="9"/>
  <c r="BC77" i="9"/>
  <c r="BC132" i="9"/>
  <c r="BC25" i="10" s="1"/>
  <c r="BC21" i="10"/>
  <c r="BC20" i="10"/>
  <c r="BC18" i="10"/>
  <c r="BC17" i="10"/>
  <c r="BC16" i="10"/>
  <c r="BC15" i="10"/>
  <c r="BC13" i="10"/>
  <c r="BC11" i="10"/>
  <c r="BC9" i="10"/>
  <c r="BC8" i="10"/>
  <c r="BB23" i="10"/>
  <c r="BB74" i="9"/>
  <c r="BB77" i="9"/>
  <c r="BB132" i="9"/>
  <c r="BB25" i="10" s="1"/>
  <c r="BB21" i="10"/>
  <c r="BB20" i="10"/>
  <c r="BB18" i="10"/>
  <c r="BB17" i="10"/>
  <c r="BB16" i="10"/>
  <c r="BB15" i="10"/>
  <c r="BB13" i="10"/>
  <c r="BB11" i="10"/>
  <c r="BB9" i="10"/>
  <c r="BB8" i="10"/>
  <c r="BA23" i="10"/>
  <c r="BA74" i="9"/>
  <c r="BA77" i="9"/>
  <c r="BA132" i="9"/>
  <c r="BA25" i="10" s="1"/>
  <c r="BA21" i="10"/>
  <c r="BA20" i="10"/>
  <c r="BA18" i="10"/>
  <c r="BA17" i="10"/>
  <c r="BA16" i="10"/>
  <c r="BA15" i="10"/>
  <c r="BA13" i="10"/>
  <c r="BA11" i="10"/>
  <c r="BA9" i="10"/>
  <c r="BA8" i="10"/>
  <c r="AZ23" i="10"/>
  <c r="AZ74" i="9"/>
  <c r="AZ77" i="9"/>
  <c r="AZ132" i="9"/>
  <c r="AZ25" i="10" s="1"/>
  <c r="AZ20" i="10"/>
  <c r="AZ18" i="10"/>
  <c r="AZ17" i="10"/>
  <c r="AZ16" i="10"/>
  <c r="AZ15" i="10"/>
  <c r="AZ13" i="10"/>
  <c r="AZ11" i="10"/>
  <c r="AZ9" i="10"/>
  <c r="AZ8" i="10"/>
  <c r="AY23" i="10"/>
  <c r="AY74" i="9"/>
  <c r="AY77" i="9"/>
  <c r="AY132" i="9"/>
  <c r="AY25" i="10" s="1"/>
  <c r="AY21" i="10"/>
  <c r="AY20" i="10"/>
  <c r="AY18" i="10"/>
  <c r="AY17" i="10"/>
  <c r="AY16" i="10"/>
  <c r="AY15" i="10"/>
  <c r="AY13" i="10"/>
  <c r="AY11" i="10"/>
  <c r="AY9" i="10"/>
  <c r="AY8" i="10"/>
  <c r="AX23" i="10"/>
  <c r="AX74" i="9"/>
  <c r="AX77" i="9"/>
  <c r="AX132" i="9"/>
  <c r="AX25" i="10" s="1"/>
  <c r="AX20" i="10"/>
  <c r="AX18" i="10"/>
  <c r="AX17" i="10"/>
  <c r="AX16" i="10"/>
  <c r="AX15" i="10"/>
  <c r="AX13" i="10"/>
  <c r="AX11" i="10"/>
  <c r="AX9" i="10"/>
  <c r="AX8" i="10"/>
  <c r="AW23" i="10"/>
  <c r="AW74" i="9"/>
  <c r="AW77" i="9"/>
  <c r="AW20" i="10"/>
  <c r="AW18" i="10"/>
  <c r="AW17" i="10"/>
  <c r="AW16" i="10"/>
  <c r="AW15" i="10"/>
  <c r="AW13" i="10"/>
  <c r="AW11" i="10"/>
  <c r="AW9" i="10"/>
  <c r="AW8" i="10"/>
  <c r="AT23" i="10"/>
  <c r="AT74" i="9"/>
  <c r="AT77" i="9"/>
  <c r="AT132" i="9"/>
  <c r="AT25" i="10" s="1"/>
  <c r="AT21" i="10"/>
  <c r="AT20" i="10"/>
  <c r="AT17" i="10"/>
  <c r="AT16" i="10"/>
  <c r="AT15" i="10"/>
  <c r="AT13" i="10"/>
  <c r="AT11" i="10"/>
  <c r="AT9" i="10"/>
  <c r="AT8" i="10"/>
  <c r="AS23" i="10"/>
  <c r="AS74" i="9"/>
  <c r="AS77" i="9"/>
  <c r="AS132" i="9"/>
  <c r="AS25" i="10" s="1"/>
  <c r="AS21" i="10"/>
  <c r="AS20" i="10"/>
  <c r="AS17" i="10"/>
  <c r="AS16" i="10"/>
  <c r="AS15" i="10"/>
  <c r="AS13" i="10"/>
  <c r="AS11" i="10"/>
  <c r="AS9" i="10"/>
  <c r="AS8" i="10"/>
  <c r="AR23" i="10"/>
  <c r="AR74" i="9"/>
  <c r="AR77" i="9"/>
  <c r="AR132" i="9"/>
  <c r="AR25" i="10" s="1"/>
  <c r="AR21" i="10"/>
  <c r="AR20" i="10"/>
  <c r="AR17" i="10"/>
  <c r="AR16" i="10"/>
  <c r="AR15" i="10"/>
  <c r="AR13" i="10"/>
  <c r="AR11" i="10"/>
  <c r="AR9" i="10"/>
  <c r="AR8" i="10"/>
  <c r="AQ23" i="10"/>
  <c r="AQ74" i="9"/>
  <c r="AQ77" i="9"/>
  <c r="AQ132" i="9"/>
  <c r="AQ25" i="10" s="1"/>
  <c r="AQ21" i="10"/>
  <c r="AQ20" i="10"/>
  <c r="AQ18" i="10"/>
  <c r="AQ17" i="10"/>
  <c r="AQ16" i="10"/>
  <c r="AQ15" i="10"/>
  <c r="AQ13" i="10"/>
  <c r="AQ11" i="10"/>
  <c r="AQ9" i="10"/>
  <c r="AQ8" i="10"/>
  <c r="AP23" i="10"/>
  <c r="AP74" i="9"/>
  <c r="AP77" i="9"/>
  <c r="AP132" i="9"/>
  <c r="AP25" i="10" s="1"/>
  <c r="AP21" i="10"/>
  <c r="AP20" i="10"/>
  <c r="AP18" i="10"/>
  <c r="AP17" i="10"/>
  <c r="AP16" i="10"/>
  <c r="AP15" i="10"/>
  <c r="AP13" i="10"/>
  <c r="AP11" i="10"/>
  <c r="AP9" i="10"/>
  <c r="AP8" i="10"/>
  <c r="AO23" i="10"/>
  <c r="AO74" i="9"/>
  <c r="AO77" i="9"/>
  <c r="AO132" i="9"/>
  <c r="AO25" i="10" s="1"/>
  <c r="AO21" i="10"/>
  <c r="AO20" i="10"/>
  <c r="AO18" i="10"/>
  <c r="AO17" i="10"/>
  <c r="AO16" i="10"/>
  <c r="AO15" i="10"/>
  <c r="AO13" i="10"/>
  <c r="AO11" i="10"/>
  <c r="AO9" i="10"/>
  <c r="AO8" i="10"/>
  <c r="AN23" i="10"/>
  <c r="AN74" i="9"/>
  <c r="AN77" i="9"/>
  <c r="AN132" i="9"/>
  <c r="AN25" i="10" s="1"/>
  <c r="AN20" i="10"/>
  <c r="AN18" i="10"/>
  <c r="AN17" i="10"/>
  <c r="AN16" i="10"/>
  <c r="AN15" i="10"/>
  <c r="AN13" i="10"/>
  <c r="AN11" i="10"/>
  <c r="AN9" i="10"/>
  <c r="AN8" i="10"/>
  <c r="AM23" i="10"/>
  <c r="AM74" i="9"/>
  <c r="AM77" i="9"/>
  <c r="AM132" i="9"/>
  <c r="AM25" i="10" s="1"/>
  <c r="AM21" i="10"/>
  <c r="AM20" i="10"/>
  <c r="AM18" i="10"/>
  <c r="AM17" i="10"/>
  <c r="AM16" i="10"/>
  <c r="AM15" i="10"/>
  <c r="AM13" i="10"/>
  <c r="AM11" i="10"/>
  <c r="AM9" i="10"/>
  <c r="AM8" i="10"/>
  <c r="AL23" i="10"/>
  <c r="AL74" i="9"/>
  <c r="AL77" i="9"/>
  <c r="AL132" i="9"/>
  <c r="AL25" i="10" s="1"/>
  <c r="AL21" i="10"/>
  <c r="AL20" i="10"/>
  <c r="AL18" i="10"/>
  <c r="AL17" i="10"/>
  <c r="AL16" i="10"/>
  <c r="AL15" i="10"/>
  <c r="AL13" i="10"/>
  <c r="AL11" i="10"/>
  <c r="AL9" i="10"/>
  <c r="AL8" i="10"/>
  <c r="AK23" i="10"/>
  <c r="AK74" i="9"/>
  <c r="AK77" i="9"/>
  <c r="AK132" i="9"/>
  <c r="AK25" i="10" s="1"/>
  <c r="AK21" i="10"/>
  <c r="AK20" i="10"/>
  <c r="AK18" i="10"/>
  <c r="AK17" i="10"/>
  <c r="AK16" i="10"/>
  <c r="AK15" i="10"/>
  <c r="AK13" i="10"/>
  <c r="AK11" i="10"/>
  <c r="AK9" i="10"/>
  <c r="AK8" i="10"/>
  <c r="AJ23" i="10"/>
  <c r="AJ74" i="9"/>
  <c r="AJ77" i="9"/>
  <c r="AJ132" i="9"/>
  <c r="AJ25" i="10" s="1"/>
  <c r="AJ21" i="10"/>
  <c r="AJ20" i="10"/>
  <c r="AJ18" i="10"/>
  <c r="AJ17" i="10"/>
  <c r="AJ16" i="10"/>
  <c r="AJ15" i="10"/>
  <c r="AJ13" i="10"/>
  <c r="AJ11" i="10"/>
  <c r="AJ9" i="10"/>
  <c r="AJ8" i="10"/>
  <c r="AI23" i="10"/>
  <c r="AI74" i="9"/>
  <c r="AI77" i="9"/>
  <c r="AI132" i="9"/>
  <c r="AI25" i="10" s="1"/>
  <c r="AI21" i="10"/>
  <c r="AI20" i="10"/>
  <c r="AI18" i="10"/>
  <c r="AI17" i="10"/>
  <c r="AI16" i="10"/>
  <c r="AI15" i="10"/>
  <c r="AI13" i="10"/>
  <c r="AI11" i="10"/>
  <c r="AI9" i="10"/>
  <c r="AI8" i="10"/>
  <c r="AH23" i="10"/>
  <c r="AH74" i="9"/>
  <c r="AH77" i="9"/>
  <c r="AH132" i="9"/>
  <c r="AH25" i="10" s="1"/>
  <c r="AH21" i="10"/>
  <c r="AH20" i="10"/>
  <c r="AH18" i="10"/>
  <c r="AH17" i="10"/>
  <c r="AH16" i="10"/>
  <c r="AH15" i="10"/>
  <c r="AH13" i="10"/>
  <c r="AH11" i="10"/>
  <c r="AH9" i="10"/>
  <c r="AH8" i="10"/>
  <c r="AG23" i="10"/>
  <c r="AG74" i="9"/>
  <c r="AG77" i="9"/>
  <c r="AG132" i="9"/>
  <c r="AG25" i="10" s="1"/>
  <c r="AG21" i="10"/>
  <c r="AG20" i="10"/>
  <c r="AG18" i="10"/>
  <c r="AG17" i="10"/>
  <c r="AG16" i="10"/>
  <c r="AG15" i="10"/>
  <c r="AG13" i="10"/>
  <c r="AG11" i="10"/>
  <c r="AG9" i="10"/>
  <c r="AG8" i="10"/>
  <c r="AF23" i="10"/>
  <c r="AF74" i="9"/>
  <c r="AF77" i="9"/>
  <c r="AF132" i="9"/>
  <c r="AF25" i="10" s="1"/>
  <c r="AF21" i="10"/>
  <c r="AF20" i="10"/>
  <c r="AF18" i="10"/>
  <c r="AF17" i="10"/>
  <c r="AF16" i="10"/>
  <c r="AF15" i="10"/>
  <c r="AF13" i="10"/>
  <c r="AF11" i="10"/>
  <c r="AF9" i="10"/>
  <c r="AF8" i="10"/>
  <c r="AE23" i="10"/>
  <c r="AE74" i="9"/>
  <c r="AE77" i="9"/>
  <c r="AE132" i="9"/>
  <c r="AE25" i="10" s="1"/>
  <c r="AE21" i="10"/>
  <c r="AE17" i="10"/>
  <c r="AE16" i="10"/>
  <c r="AE15" i="10"/>
  <c r="AE13" i="10"/>
  <c r="AE11" i="10"/>
  <c r="AE9" i="10"/>
  <c r="AE8" i="10"/>
  <c r="AD23" i="10"/>
  <c r="AD74" i="9"/>
  <c r="AD77" i="9"/>
  <c r="AD132" i="9"/>
  <c r="AD25" i="10" s="1"/>
  <c r="AD21" i="10"/>
  <c r="AD17" i="10"/>
  <c r="AD16" i="10"/>
  <c r="AD15" i="10"/>
  <c r="AD13" i="10"/>
  <c r="AD11" i="10"/>
  <c r="AD9" i="10"/>
  <c r="AD8" i="10"/>
  <c r="AC23" i="10"/>
  <c r="AC74" i="9"/>
  <c r="AC77" i="9"/>
  <c r="AC132" i="9"/>
  <c r="AC25" i="10" s="1"/>
  <c r="AC21" i="10"/>
  <c r="AC17" i="10"/>
  <c r="AC16" i="10"/>
  <c r="AC15" i="10"/>
  <c r="AC13" i="10"/>
  <c r="AC11" i="10"/>
  <c r="AC9" i="10"/>
  <c r="AC8" i="10"/>
  <c r="AB23" i="10"/>
  <c r="AB74" i="9"/>
  <c r="AB77" i="9"/>
  <c r="AB132" i="9"/>
  <c r="AB25" i="10" s="1"/>
  <c r="AB21" i="10"/>
  <c r="AB17" i="10"/>
  <c r="AB16" i="10"/>
  <c r="AB15" i="10"/>
  <c r="AB13" i="10"/>
  <c r="AB11" i="10"/>
  <c r="AB9" i="10"/>
  <c r="AB8" i="10"/>
  <c r="AA23" i="10"/>
  <c r="AA74" i="9"/>
  <c r="AA77" i="9"/>
  <c r="AA132" i="9"/>
  <c r="AA25" i="10" s="1"/>
  <c r="AA21" i="10"/>
  <c r="AA17" i="10"/>
  <c r="AA16" i="10"/>
  <c r="AA15" i="10"/>
  <c r="AA13" i="10"/>
  <c r="AA11" i="10"/>
  <c r="AA9" i="10"/>
  <c r="AA8" i="10"/>
  <c r="Z23" i="10"/>
  <c r="Z74" i="9"/>
  <c r="Z77" i="9"/>
  <c r="Z132" i="9"/>
  <c r="Z25" i="10" s="1"/>
  <c r="Z21" i="10"/>
  <c r="Z17" i="10"/>
  <c r="Z16" i="10"/>
  <c r="Z15" i="10"/>
  <c r="Z13" i="10"/>
  <c r="Z11" i="10"/>
  <c r="Z9" i="10"/>
  <c r="Z8" i="10"/>
  <c r="Y23" i="10"/>
  <c r="Y74" i="9"/>
  <c r="Y77" i="9"/>
  <c r="Y21" i="10"/>
  <c r="Y17" i="10"/>
  <c r="Y16" i="10"/>
  <c r="Y15" i="10"/>
  <c r="Y13" i="10"/>
  <c r="Y11" i="10"/>
  <c r="Y9" i="10"/>
  <c r="Y8" i="10"/>
  <c r="F23" i="10"/>
  <c r="AT79" i="9"/>
  <c r="AT134" i="9"/>
  <c r="AS79" i="9"/>
  <c r="AS134" i="9"/>
  <c r="AR79" i="9"/>
  <c r="AR134" i="9"/>
  <c r="L97" i="9"/>
  <c r="Q39" i="7"/>
  <c r="Q38" i="7"/>
  <c r="L122" i="9"/>
  <c r="Q52" i="7"/>
  <c r="I113" i="9"/>
  <c r="I127" i="9" s="1"/>
  <c r="N58" i="5"/>
  <c r="O58" i="5"/>
  <c r="P58" i="5"/>
  <c r="Q58" i="5"/>
  <c r="R58" i="5"/>
  <c r="I101" i="9"/>
  <c r="N69" i="6"/>
  <c r="BF73" i="9"/>
  <c r="BE73" i="9"/>
  <c r="BC73" i="9"/>
  <c r="BB73" i="9"/>
  <c r="BA73" i="9"/>
  <c r="AX73" i="9"/>
  <c r="AW73" i="9"/>
  <c r="AU73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L92" i="9"/>
  <c r="I92" i="9"/>
  <c r="H93" i="9"/>
  <c r="G93" i="9"/>
  <c r="E93" i="9"/>
  <c r="D93" i="9"/>
  <c r="C93" i="9"/>
  <c r="C75" i="9" s="1"/>
  <c r="H73" i="9"/>
  <c r="G73" i="9"/>
  <c r="N33" i="5"/>
  <c r="K134" i="9"/>
  <c r="J100" i="9"/>
  <c r="I133" i="9"/>
  <c r="D164" i="9"/>
  <c r="R79" i="6"/>
  <c r="AY128" i="9" l="1"/>
  <c r="AY70" i="9"/>
  <c r="AY71" i="9"/>
  <c r="F14" i="10"/>
  <c r="F13" i="10"/>
  <c r="F8" i="10"/>
  <c r="BR158" i="9"/>
  <c r="BS158" i="9" s="1"/>
  <c r="BT158" i="9" s="1"/>
  <c r="BU158" i="9" s="1"/>
  <c r="BV158" i="9" s="1"/>
  <c r="BW158" i="9" s="1"/>
  <c r="BX158" i="9" s="1"/>
  <c r="BY158" i="9" s="1"/>
  <c r="BZ158" i="9" s="1"/>
  <c r="CA158" i="9" s="1"/>
  <c r="CB158" i="9" s="1"/>
  <c r="CC158" i="9" s="1"/>
  <c r="CD158" i="9" s="1"/>
  <c r="CE158" i="9" s="1"/>
  <c r="CF158" i="9" s="1"/>
  <c r="CG158" i="9" s="1"/>
  <c r="CH158" i="9" s="1"/>
  <c r="CI158" i="9" s="1"/>
  <c r="CJ158" i="9" s="1"/>
  <c r="CK158" i="9" s="1"/>
  <c r="CL158" i="9" s="1"/>
  <c r="CM158" i="9" s="1"/>
  <c r="CN158" i="9" s="1"/>
  <c r="CO158" i="9" s="1"/>
  <c r="CP158" i="9" s="1"/>
  <c r="CQ158" i="9" s="1"/>
  <c r="F15" i="10"/>
  <c r="F9" i="10"/>
  <c r="F11" i="10"/>
  <c r="F74" i="9"/>
  <c r="F20" i="10"/>
  <c r="AV72" i="9"/>
  <c r="AV73" i="9" s="1"/>
  <c r="AW130" i="9"/>
  <c r="Y52" i="6"/>
  <c r="DU52" i="6"/>
  <c r="DV52" i="6" s="1"/>
  <c r="DW52" i="6" s="1"/>
  <c r="DX52" i="6" s="1"/>
  <c r="Z52" i="6" s="1"/>
  <c r="DA55" i="5"/>
  <c r="DC55" i="5"/>
  <c r="DB55" i="5"/>
  <c r="DD55" i="5"/>
  <c r="Z20" i="5"/>
  <c r="C120" i="9"/>
  <c r="C119" i="9"/>
  <c r="C131" i="9"/>
  <c r="C123" i="9"/>
  <c r="BD130" i="9"/>
  <c r="BD72" i="9"/>
  <c r="BD73" i="9" s="1"/>
  <c r="G120" i="9"/>
  <c r="G131" i="9"/>
  <c r="H131" i="9"/>
  <c r="G119" i="9"/>
  <c r="G98" i="9"/>
  <c r="H98" i="9"/>
  <c r="G123" i="9"/>
  <c r="BH130" i="9"/>
  <c r="BH72" i="9"/>
  <c r="BH73" i="9" s="1"/>
  <c r="AY130" i="9"/>
  <c r="AY72" i="9"/>
  <c r="AY73" i="9" s="1"/>
  <c r="D119" i="9"/>
  <c r="D98" i="9"/>
  <c r="E98" i="9"/>
  <c r="E131" i="9"/>
  <c r="D120" i="9"/>
  <c r="D131" i="9"/>
  <c r="D123" i="9"/>
  <c r="O69" i="5"/>
  <c r="I116" i="9"/>
  <c r="J129" i="9"/>
  <c r="I129" i="9"/>
  <c r="J116" i="9"/>
  <c r="BG130" i="9"/>
  <c r="BG72" i="9"/>
  <c r="BG73" i="9" s="1"/>
  <c r="S30" i="7"/>
  <c r="J120" i="9"/>
  <c r="J119" i="9"/>
  <c r="AZ130" i="9"/>
  <c r="AZ72" i="9"/>
  <c r="AZ73" i="9" s="1"/>
  <c r="N22" i="7"/>
  <c r="N69" i="5"/>
  <c r="BM85" i="9"/>
  <c r="BL106" i="9"/>
  <c r="BL135" i="9"/>
  <c r="AX62" i="9"/>
  <c r="AY62" i="9"/>
  <c r="Y10" i="10"/>
  <c r="Y12" i="10" s="1"/>
  <c r="AO10" i="10"/>
  <c r="AO12" i="10" s="1"/>
  <c r="AO19" i="10" s="1"/>
  <c r="AO22" i="10" s="1"/>
  <c r="AO24" i="10" s="1"/>
  <c r="AP10" i="10"/>
  <c r="AP12" i="10" s="1"/>
  <c r="AP19" i="10" s="1"/>
  <c r="AP22" i="10" s="1"/>
  <c r="AP24" i="10" s="1"/>
  <c r="AQ10" i="10"/>
  <c r="AQ12" i="10" s="1"/>
  <c r="AQ19" i="10" s="1"/>
  <c r="AQ22" i="10" s="1"/>
  <c r="AQ24" i="10" s="1"/>
  <c r="K119" i="9"/>
  <c r="K131" i="9"/>
  <c r="K120" i="9"/>
  <c r="K98" i="9"/>
  <c r="U25" i="6"/>
  <c r="U55" i="5" s="1"/>
  <c r="I93" i="9"/>
  <c r="L93" i="9"/>
  <c r="I143" i="9"/>
  <c r="J34" i="9"/>
  <c r="K34" i="9"/>
  <c r="L34" i="9"/>
  <c r="CT26" i="5"/>
  <c r="I134" i="9"/>
  <c r="I34" i="9"/>
  <c r="K93" i="9"/>
  <c r="DN24" i="5"/>
  <c r="DF25" i="6"/>
  <c r="DE25" i="6"/>
  <c r="DG25" i="6"/>
  <c r="DH25" i="6"/>
  <c r="DM23" i="5"/>
  <c r="DQ23" i="5" s="1"/>
  <c r="DU23" i="5" s="1"/>
  <c r="DI24" i="5"/>
  <c r="DI44" i="6"/>
  <c r="DI43" i="6"/>
  <c r="DI26" i="6"/>
  <c r="DL43" i="6"/>
  <c r="W43" i="6" s="1"/>
  <c r="DK26" i="6"/>
  <c r="DJ43" i="6"/>
  <c r="DJ26" i="6"/>
  <c r="DL44" i="6"/>
  <c r="W44" i="6" s="1"/>
  <c r="DL26" i="6"/>
  <c r="W26" i="6" s="1"/>
  <c r="DK44" i="6"/>
  <c r="DK43" i="6"/>
  <c r="DJ44" i="6"/>
  <c r="DE45" i="6"/>
  <c r="DG45" i="6"/>
  <c r="DH45" i="6"/>
  <c r="V45" i="6" s="1"/>
  <c r="DF45" i="6"/>
  <c r="L72" i="9"/>
  <c r="L130" i="9"/>
  <c r="CW65" i="5"/>
  <c r="K72" i="9"/>
  <c r="K130" i="9"/>
  <c r="CP58" i="5"/>
  <c r="BI113" i="9"/>
  <c r="CQ58" i="5"/>
  <c r="CR58" i="5"/>
  <c r="BI10" i="10"/>
  <c r="BI12" i="10" s="1"/>
  <c r="BI19" i="10" s="1"/>
  <c r="BI22" i="10" s="1"/>
  <c r="BI24" i="10" s="1"/>
  <c r="AR10" i="10"/>
  <c r="AR12" i="10" s="1"/>
  <c r="AR19" i="10" s="1"/>
  <c r="AR22" i="10" s="1"/>
  <c r="AR24" i="10" s="1"/>
  <c r="AT10" i="10"/>
  <c r="AT12" i="10" s="1"/>
  <c r="AT19" i="10" s="1"/>
  <c r="AT22" i="10" s="1"/>
  <c r="AT24" i="10" s="1"/>
  <c r="AY10" i="10"/>
  <c r="AY12" i="10" s="1"/>
  <c r="AY19" i="10" s="1"/>
  <c r="AY22" i="10" s="1"/>
  <c r="AY24" i="10" s="1"/>
  <c r="AZ10" i="10"/>
  <c r="AZ12" i="10" s="1"/>
  <c r="AZ19" i="10" s="1"/>
  <c r="AZ22" i="10" s="1"/>
  <c r="AZ24" i="10" s="1"/>
  <c r="BF10" i="10"/>
  <c r="BF12" i="10" s="1"/>
  <c r="BF19" i="10" s="1"/>
  <c r="BF22" i="10" s="1"/>
  <c r="BF24" i="10" s="1"/>
  <c r="BH10" i="10"/>
  <c r="BH12" i="10" s="1"/>
  <c r="BH19" i="10" s="1"/>
  <c r="BH22" i="10" s="1"/>
  <c r="BH24" i="10" s="1"/>
  <c r="CM84" i="6"/>
  <c r="BF56" i="9"/>
  <c r="BF58" i="9" s="1"/>
  <c r="CM45" i="5"/>
  <c r="J47" i="7"/>
  <c r="E71" i="9"/>
  <c r="E73" i="9" s="1"/>
  <c r="E128" i="9"/>
  <c r="F71" i="9"/>
  <c r="F73" i="9" s="1"/>
  <c r="F128" i="9"/>
  <c r="G128" i="9"/>
  <c r="D130" i="9"/>
  <c r="E130" i="9"/>
  <c r="D72" i="9"/>
  <c r="D73" i="9" s="1"/>
  <c r="W23" i="5"/>
  <c r="V80" i="7"/>
  <c r="V24" i="5"/>
  <c r="V34" i="7" s="1"/>
  <c r="V81" i="7"/>
  <c r="V65" i="7"/>
  <c r="V33" i="7"/>
  <c r="AE33" i="7"/>
  <c r="U20" i="5"/>
  <c r="R28" i="7"/>
  <c r="M30" i="9"/>
  <c r="L48" i="7"/>
  <c r="CG45" i="5"/>
  <c r="CG48" i="7"/>
  <c r="AZ56" i="9"/>
  <c r="AZ58" i="9" s="1"/>
  <c r="CG84" i="6"/>
  <c r="BW48" i="7"/>
  <c r="AP56" i="9"/>
  <c r="R54" i="5"/>
  <c r="M105" i="9"/>
  <c r="R56" i="7"/>
  <c r="BK135" i="9"/>
  <c r="BK136" i="9" s="1"/>
  <c r="BK106" i="9"/>
  <c r="R64" i="5"/>
  <c r="R75" i="7"/>
  <c r="U56" i="6"/>
  <c r="X18" i="10"/>
  <c r="X34" i="9"/>
  <c r="X38" i="9" s="1"/>
  <c r="X43" i="9" s="1"/>
  <c r="X47" i="9" s="1"/>
  <c r="X51" i="9" s="1"/>
  <c r="BU48" i="7"/>
  <c r="AN56" i="9"/>
  <c r="CK45" i="5"/>
  <c r="CK84" i="6"/>
  <c r="CK48" i="7"/>
  <c r="BD56" i="9"/>
  <c r="BD58" i="9" s="1"/>
  <c r="K48" i="7"/>
  <c r="Z76" i="9"/>
  <c r="Z92" i="9"/>
  <c r="Z93" i="9" s="1"/>
  <c r="Z34" i="9"/>
  <c r="Z38" i="9" s="1"/>
  <c r="Z18" i="10"/>
  <c r="CA45" i="5"/>
  <c r="AT56" i="9"/>
  <c r="AT58" i="9" s="1"/>
  <c r="CA84" i="6"/>
  <c r="R68" i="7"/>
  <c r="AA56" i="9"/>
  <c r="BH48" i="7"/>
  <c r="AI56" i="9"/>
  <c r="BP48" i="7"/>
  <c r="AQ56" i="9"/>
  <c r="BX48" i="7"/>
  <c r="AY56" i="9"/>
  <c r="AY58" i="9" s="1"/>
  <c r="CF84" i="6"/>
  <c r="CF87" i="6" s="1"/>
  <c r="CF48" i="7"/>
  <c r="CN45" i="5"/>
  <c r="BG56" i="9"/>
  <c r="BG58" i="9" s="1"/>
  <c r="CN84" i="6"/>
  <c r="H62" i="6"/>
  <c r="F110" i="9"/>
  <c r="E110" i="9"/>
  <c r="L62" i="6"/>
  <c r="J110" i="9"/>
  <c r="I110" i="9"/>
  <c r="L110" i="9"/>
  <c r="K110" i="9"/>
  <c r="AC56" i="9"/>
  <c r="BJ48" i="7"/>
  <c r="AK56" i="9"/>
  <c r="BR48" i="7"/>
  <c r="BZ45" i="5"/>
  <c r="AS56" i="9"/>
  <c r="AS58" i="9" s="1"/>
  <c r="BZ84" i="6"/>
  <c r="CH45" i="5"/>
  <c r="CH48" i="7"/>
  <c r="BA56" i="9"/>
  <c r="BA58" i="9" s="1"/>
  <c r="CH84" i="6"/>
  <c r="CH87" i="6" s="1"/>
  <c r="AD76" i="9"/>
  <c r="AD92" i="9"/>
  <c r="AD93" i="9" s="1"/>
  <c r="AD18" i="10"/>
  <c r="AD34" i="9"/>
  <c r="AD38" i="9" s="1"/>
  <c r="Z10" i="10"/>
  <c r="Z12" i="10" s="1"/>
  <c r="Z19" i="10" s="1"/>
  <c r="Z22" i="10" s="1"/>
  <c r="Z24" i="10" s="1"/>
  <c r="AA10" i="10"/>
  <c r="AA12" i="10" s="1"/>
  <c r="AB10" i="10"/>
  <c r="AB12" i="10" s="1"/>
  <c r="AB19" i="10" s="1"/>
  <c r="AB22" i="10" s="1"/>
  <c r="AB24" i="10" s="1"/>
  <c r="AC10" i="10"/>
  <c r="AC12" i="10" s="1"/>
  <c r="AD10" i="10"/>
  <c r="AD12" i="10" s="1"/>
  <c r="AD19" i="10" s="1"/>
  <c r="AD22" i="10" s="1"/>
  <c r="AD24" i="10" s="1"/>
  <c r="AE10" i="10"/>
  <c r="AE12" i="10" s="1"/>
  <c r="AF10" i="10"/>
  <c r="AF12" i="10" s="1"/>
  <c r="AF19" i="10" s="1"/>
  <c r="AF22" i="10" s="1"/>
  <c r="AF24" i="10" s="1"/>
  <c r="AG10" i="10"/>
  <c r="AG12" i="10" s="1"/>
  <c r="AG19" i="10" s="1"/>
  <c r="AG22" i="10" s="1"/>
  <c r="AG24" i="10" s="1"/>
  <c r="AH10" i="10"/>
  <c r="AH12" i="10" s="1"/>
  <c r="AH19" i="10" s="1"/>
  <c r="AH22" i="10" s="1"/>
  <c r="AH24" i="10" s="1"/>
  <c r="AI10" i="10"/>
  <c r="AI12" i="10" s="1"/>
  <c r="AI19" i="10" s="1"/>
  <c r="AI22" i="10" s="1"/>
  <c r="AI24" i="10" s="1"/>
  <c r="AJ10" i="10"/>
  <c r="AJ12" i="10" s="1"/>
  <c r="AJ19" i="10" s="1"/>
  <c r="AJ22" i="10" s="1"/>
  <c r="AJ24" i="10" s="1"/>
  <c r="AK10" i="10"/>
  <c r="AK12" i="10" s="1"/>
  <c r="AK19" i="10" s="1"/>
  <c r="AK22" i="10" s="1"/>
  <c r="AK24" i="10" s="1"/>
  <c r="AL10" i="10"/>
  <c r="AL12" i="10" s="1"/>
  <c r="AL19" i="10" s="1"/>
  <c r="AL22" i="10" s="1"/>
  <c r="AL24" i="10" s="1"/>
  <c r="AM10" i="10"/>
  <c r="AM12" i="10" s="1"/>
  <c r="AM19" i="10" s="1"/>
  <c r="AM22" i="10" s="1"/>
  <c r="AM24" i="10" s="1"/>
  <c r="AN10" i="10"/>
  <c r="AN12" i="10" s="1"/>
  <c r="AN19" i="10" s="1"/>
  <c r="AN22" i="10" s="1"/>
  <c r="AN24" i="10" s="1"/>
  <c r="AS10" i="10"/>
  <c r="AS12" i="10" s="1"/>
  <c r="AS19" i="10" s="1"/>
  <c r="AS22" i="10" s="1"/>
  <c r="AS24" i="10" s="1"/>
  <c r="AW10" i="10"/>
  <c r="AW12" i="10" s="1"/>
  <c r="AW19" i="10" s="1"/>
  <c r="AW22" i="10" s="1"/>
  <c r="AW24" i="10" s="1"/>
  <c r="AX10" i="10"/>
  <c r="AX12" i="10" s="1"/>
  <c r="AX19" i="10" s="1"/>
  <c r="AX22" i="10" s="1"/>
  <c r="AX24" i="10" s="1"/>
  <c r="BA10" i="10"/>
  <c r="BA12" i="10" s="1"/>
  <c r="BA19" i="10" s="1"/>
  <c r="BA22" i="10" s="1"/>
  <c r="BA24" i="10" s="1"/>
  <c r="BB10" i="10"/>
  <c r="BB12" i="10" s="1"/>
  <c r="BB19" i="10" s="1"/>
  <c r="BB22" i="10" s="1"/>
  <c r="BB24" i="10" s="1"/>
  <c r="BC10" i="10"/>
  <c r="BC12" i="10" s="1"/>
  <c r="BC19" i="10" s="1"/>
  <c r="BC22" i="10" s="1"/>
  <c r="BC24" i="10" s="1"/>
  <c r="BD10" i="10"/>
  <c r="BD12" i="10" s="1"/>
  <c r="BD19" i="10" s="1"/>
  <c r="BD22" i="10" s="1"/>
  <c r="BD24" i="10" s="1"/>
  <c r="BE10" i="10"/>
  <c r="BE12" i="10" s="1"/>
  <c r="BE19" i="10" s="1"/>
  <c r="BE22" i="10" s="1"/>
  <c r="BE24" i="10" s="1"/>
  <c r="BG10" i="10"/>
  <c r="BG12" i="10" s="1"/>
  <c r="BG19" i="10" s="1"/>
  <c r="BG22" i="10" s="1"/>
  <c r="BG24" i="10" s="1"/>
  <c r="R52" i="5"/>
  <c r="R53" i="7"/>
  <c r="R40" i="7"/>
  <c r="BY45" i="5"/>
  <c r="BY48" i="7"/>
  <c r="AR56" i="9"/>
  <c r="AR58" i="9" s="1"/>
  <c r="BY84" i="6"/>
  <c r="CO45" i="5"/>
  <c r="CO48" i="7"/>
  <c r="BH56" i="9"/>
  <c r="CO84" i="6"/>
  <c r="CO87" i="6" s="1"/>
  <c r="CE84" i="6"/>
  <c r="CE87" i="6" s="1"/>
  <c r="CE48" i="7"/>
  <c r="CC45" i="5"/>
  <c r="AV56" i="9"/>
  <c r="AV58" i="9" s="1"/>
  <c r="CC48" i="7"/>
  <c r="CC84" i="6"/>
  <c r="BS48" i="7"/>
  <c r="AL56" i="9"/>
  <c r="CI45" i="5"/>
  <c r="BB56" i="9"/>
  <c r="BB58" i="9" s="1"/>
  <c r="CI84" i="6"/>
  <c r="CI87" i="6" s="1"/>
  <c r="CI48" i="7"/>
  <c r="AE56" i="9"/>
  <c r="BL48" i="7"/>
  <c r="AM56" i="9"/>
  <c r="BT48" i="7"/>
  <c r="CB45" i="5"/>
  <c r="AU56" i="9"/>
  <c r="AU58" i="9" s="1"/>
  <c r="CB84" i="6"/>
  <c r="CJ45" i="5"/>
  <c r="CJ48" i="7"/>
  <c r="BC56" i="9"/>
  <c r="BC58" i="9" s="1"/>
  <c r="CJ84" i="6"/>
  <c r="CJ87" i="6" s="1"/>
  <c r="U54" i="6"/>
  <c r="M31" i="9"/>
  <c r="R21" i="5"/>
  <c r="R29" i="7"/>
  <c r="R66" i="5"/>
  <c r="R77" i="7"/>
  <c r="R65" i="5"/>
  <c r="R76" i="7"/>
  <c r="J62" i="6"/>
  <c r="H110" i="9"/>
  <c r="G110" i="9"/>
  <c r="Y56" i="9"/>
  <c r="BF48" i="7"/>
  <c r="AG56" i="9"/>
  <c r="BN48" i="7"/>
  <c r="AO56" i="9"/>
  <c r="BV48" i="7"/>
  <c r="CD45" i="5"/>
  <c r="CD48" i="7"/>
  <c r="AW56" i="9"/>
  <c r="AW58" i="9" s="1"/>
  <c r="CD84" i="6"/>
  <c r="CD87" i="6" s="1"/>
  <c r="CL45" i="5"/>
  <c r="BE56" i="9"/>
  <c r="BE58" i="9" s="1"/>
  <c r="CL84" i="6"/>
  <c r="CL87" i="6" s="1"/>
  <c r="CL48" i="7"/>
  <c r="AB76" i="9"/>
  <c r="AB92" i="9"/>
  <c r="AB93" i="9" s="1"/>
  <c r="AB18" i="10"/>
  <c r="AB34" i="9"/>
  <c r="AB38" i="9" s="1"/>
  <c r="N37" i="5"/>
  <c r="N45" i="7"/>
  <c r="N46" i="7" s="1"/>
  <c r="D94" i="9"/>
  <c r="D75" i="9"/>
  <c r="E94" i="9"/>
  <c r="E75" i="9"/>
  <c r="F94" i="9"/>
  <c r="F75" i="9"/>
  <c r="G94" i="9"/>
  <c r="G75" i="9"/>
  <c r="H94" i="9"/>
  <c r="H75" i="9"/>
  <c r="I94" i="9"/>
  <c r="I75" i="9"/>
  <c r="J94" i="9"/>
  <c r="J75" i="9"/>
  <c r="K94" i="9"/>
  <c r="K75" i="9"/>
  <c r="L75" i="9"/>
  <c r="N71" i="6"/>
  <c r="O71" i="6"/>
  <c r="I102" i="9"/>
  <c r="J102" i="9"/>
  <c r="Q21" i="7"/>
  <c r="Q59" i="5"/>
  <c r="P21" i="7"/>
  <c r="P59" i="5"/>
  <c r="O21" i="7"/>
  <c r="O59" i="5"/>
  <c r="N21" i="7"/>
  <c r="N59" i="5"/>
  <c r="I114" i="9"/>
  <c r="J127" i="9"/>
  <c r="J114" i="9"/>
  <c r="L98" i="9"/>
  <c r="L120" i="9"/>
  <c r="L119" i="9"/>
  <c r="L131" i="9"/>
  <c r="L61" i="9"/>
  <c r="D145" i="9"/>
  <c r="D146" i="9"/>
  <c r="M45" i="7"/>
  <c r="M46" i="7" s="1"/>
  <c r="O37" i="5"/>
  <c r="O45" i="7"/>
  <c r="O46" i="7" s="1"/>
  <c r="P37" i="5"/>
  <c r="P45" i="7"/>
  <c r="P46" i="7" s="1"/>
  <c r="Q37" i="5"/>
  <c r="Q45" i="7"/>
  <c r="Q46" i="7" s="1"/>
  <c r="M87" i="9"/>
  <c r="AU98" i="9"/>
  <c r="AU120" i="9"/>
  <c r="AV131" i="9"/>
  <c r="AU131" i="9"/>
  <c r="AV98" i="9"/>
  <c r="AU119" i="9"/>
  <c r="J134" i="9"/>
  <c r="J79" i="9"/>
  <c r="I97" i="9"/>
  <c r="O41" i="7"/>
  <c r="O39" i="7"/>
  <c r="N39" i="7"/>
  <c r="N38" i="7"/>
  <c r="I122" i="9"/>
  <c r="N52" i="7"/>
  <c r="O38" i="7"/>
  <c r="N41" i="7"/>
  <c r="D150" i="9"/>
  <c r="D156" i="9" s="1"/>
  <c r="D152" i="9"/>
  <c r="E150" i="9"/>
  <c r="E156" i="9" s="1"/>
  <c r="E152" i="9"/>
  <c r="F150" i="9"/>
  <c r="F156" i="9" s="1"/>
  <c r="F152" i="9"/>
  <c r="G150" i="9"/>
  <c r="G156" i="9" s="1"/>
  <c r="G152" i="9"/>
  <c r="H150" i="9"/>
  <c r="H152" i="9"/>
  <c r="I150" i="9"/>
  <c r="I152" i="9"/>
  <c r="J150" i="9"/>
  <c r="J152" i="9"/>
  <c r="K150" i="9"/>
  <c r="K152" i="9"/>
  <c r="L150" i="9"/>
  <c r="L152" i="9"/>
  <c r="Y150" i="9"/>
  <c r="Y156" i="9" s="1"/>
  <c r="Y152" i="9"/>
  <c r="Z150" i="9"/>
  <c r="Z156" i="9" s="1"/>
  <c r="Z152" i="9"/>
  <c r="AA150" i="9"/>
  <c r="AA156" i="9" s="1"/>
  <c r="AA152" i="9"/>
  <c r="AB150" i="9"/>
  <c r="AB156" i="9" s="1"/>
  <c r="AB152" i="9"/>
  <c r="AC150" i="9"/>
  <c r="AC156" i="9" s="1"/>
  <c r="AC152" i="9"/>
  <c r="AD150" i="9"/>
  <c r="AD156" i="9" s="1"/>
  <c r="AD152" i="9"/>
  <c r="AE150" i="9"/>
  <c r="AE156" i="9" s="1"/>
  <c r="AE152" i="9"/>
  <c r="AF150" i="9"/>
  <c r="AF156" i="9" s="1"/>
  <c r="AF152" i="9"/>
  <c r="AG150" i="9"/>
  <c r="AG156" i="9" s="1"/>
  <c r="AG152" i="9"/>
  <c r="AH150" i="9"/>
  <c r="AH156" i="9" s="1"/>
  <c r="AH152" i="9"/>
  <c r="AI150" i="9"/>
  <c r="AI156" i="9" s="1"/>
  <c r="AI152" i="9"/>
  <c r="AJ150" i="9"/>
  <c r="AJ156" i="9" s="1"/>
  <c r="AJ152" i="9"/>
  <c r="AK150" i="9"/>
  <c r="AK156" i="9" s="1"/>
  <c r="AK152" i="9"/>
  <c r="AL150" i="9"/>
  <c r="AL156" i="9" s="1"/>
  <c r="AL152" i="9"/>
  <c r="AM150" i="9"/>
  <c r="AM156" i="9" s="1"/>
  <c r="AM152" i="9"/>
  <c r="AN150" i="9"/>
  <c r="AN156" i="9" s="1"/>
  <c r="AN152" i="9"/>
  <c r="AO150" i="9"/>
  <c r="AO156" i="9" s="1"/>
  <c r="AO152" i="9"/>
  <c r="AP150" i="9"/>
  <c r="AP156" i="9" s="1"/>
  <c r="AP152" i="9"/>
  <c r="AQ150" i="9"/>
  <c r="AQ156" i="9" s="1"/>
  <c r="AQ152" i="9"/>
  <c r="AR150" i="9"/>
  <c r="AR156" i="9" s="1"/>
  <c r="AR152" i="9"/>
  <c r="AS150" i="9"/>
  <c r="AS156" i="9" s="1"/>
  <c r="AS152" i="9"/>
  <c r="AT150" i="9"/>
  <c r="AT156" i="9" s="1"/>
  <c r="AT152" i="9"/>
  <c r="AU150" i="9"/>
  <c r="AU156" i="9" s="1"/>
  <c r="AU152" i="9"/>
  <c r="AV150" i="9"/>
  <c r="AV156" i="9" s="1"/>
  <c r="AV152" i="9"/>
  <c r="AW150" i="9"/>
  <c r="AW156" i="9" s="1"/>
  <c r="AW152" i="9"/>
  <c r="AX150" i="9"/>
  <c r="AX156" i="9" s="1"/>
  <c r="AX152" i="9"/>
  <c r="AY150" i="9"/>
  <c r="AY156" i="9" s="1"/>
  <c r="AY152" i="9"/>
  <c r="AZ150" i="9"/>
  <c r="AZ156" i="9" s="1"/>
  <c r="AZ152" i="9"/>
  <c r="BA150" i="9"/>
  <c r="BA156" i="9" s="1"/>
  <c r="BA152" i="9"/>
  <c r="BB150" i="9"/>
  <c r="BB156" i="9" s="1"/>
  <c r="BB152" i="9"/>
  <c r="BC150" i="9"/>
  <c r="BC156" i="9" s="1"/>
  <c r="BC152" i="9"/>
  <c r="BD150" i="9"/>
  <c r="BD156" i="9" s="1"/>
  <c r="BD152" i="9"/>
  <c r="BE150" i="9"/>
  <c r="BE152" i="9"/>
  <c r="BF150" i="9"/>
  <c r="BF152" i="9"/>
  <c r="BG150" i="9"/>
  <c r="BG156" i="9" s="1"/>
  <c r="BG152" i="9"/>
  <c r="BH150" i="9"/>
  <c r="BH156" i="9" s="1"/>
  <c r="BH152" i="9"/>
  <c r="C43" i="9"/>
  <c r="C47" i="9" s="1"/>
  <c r="C80" i="9"/>
  <c r="D43" i="9"/>
  <c r="D47" i="9" s="1"/>
  <c r="D80" i="9"/>
  <c r="E43" i="9"/>
  <c r="E47" i="9" s="1"/>
  <c r="E80" i="9"/>
  <c r="F43" i="9"/>
  <c r="F47" i="9" s="1"/>
  <c r="F80" i="9"/>
  <c r="G43" i="9"/>
  <c r="G47" i="9" s="1"/>
  <c r="H88" i="9" s="1"/>
  <c r="G80" i="9"/>
  <c r="H51" i="9"/>
  <c r="H68" i="9"/>
  <c r="H69" i="9"/>
  <c r="R64" i="7"/>
  <c r="R55" i="5"/>
  <c r="R30" i="7"/>
  <c r="S55" i="5"/>
  <c r="T30" i="7"/>
  <c r="T64" i="7"/>
  <c r="T55" i="5"/>
  <c r="AF51" i="9"/>
  <c r="AF68" i="9"/>
  <c r="AF69" i="9"/>
  <c r="AG51" i="9"/>
  <c r="AG68" i="9"/>
  <c r="AG69" i="9"/>
  <c r="AG88" i="9"/>
  <c r="AH51" i="9"/>
  <c r="AH68" i="9"/>
  <c r="AH69" i="9"/>
  <c r="AH88" i="9"/>
  <c r="AI51" i="9"/>
  <c r="AI68" i="9"/>
  <c r="AI69" i="9"/>
  <c r="AI88" i="9"/>
  <c r="AJ51" i="9"/>
  <c r="AJ68" i="9"/>
  <c r="AJ69" i="9"/>
  <c r="AJ88" i="9"/>
  <c r="AK51" i="9"/>
  <c r="AK68" i="9"/>
  <c r="AK69" i="9"/>
  <c r="AK88" i="9"/>
  <c r="AL51" i="9"/>
  <c r="AL68" i="9"/>
  <c r="AL69" i="9"/>
  <c r="AL88" i="9"/>
  <c r="AM51" i="9"/>
  <c r="AM68" i="9"/>
  <c r="AM69" i="9"/>
  <c r="AM88" i="9"/>
  <c r="AO51" i="9"/>
  <c r="AO68" i="9"/>
  <c r="AO69" i="9"/>
  <c r="AO88" i="9"/>
  <c r="AP51" i="9"/>
  <c r="AP68" i="9"/>
  <c r="AP69" i="9"/>
  <c r="AP88" i="9"/>
  <c r="AQ51" i="9"/>
  <c r="AQ68" i="9"/>
  <c r="AQ69" i="9"/>
  <c r="AQ88" i="9"/>
  <c r="AR51" i="9"/>
  <c r="AR68" i="9"/>
  <c r="AR69" i="9"/>
  <c r="AR88" i="9"/>
  <c r="AS51" i="9"/>
  <c r="AS68" i="9"/>
  <c r="AS69" i="9"/>
  <c r="AS88" i="9"/>
  <c r="AT51" i="9"/>
  <c r="AT68" i="9"/>
  <c r="AT69" i="9"/>
  <c r="AT88" i="9"/>
  <c r="AY51" i="9"/>
  <c r="AY68" i="9"/>
  <c r="AY69" i="9"/>
  <c r="AY88" i="9"/>
  <c r="BA51" i="9"/>
  <c r="BA68" i="9"/>
  <c r="BA69" i="9"/>
  <c r="BA88" i="9"/>
  <c r="BB51" i="9"/>
  <c r="BB68" i="9"/>
  <c r="BB69" i="9"/>
  <c r="BB88" i="9"/>
  <c r="BC51" i="9"/>
  <c r="BC68" i="9"/>
  <c r="BC69" i="9"/>
  <c r="BC88" i="9"/>
  <c r="BD51" i="9"/>
  <c r="BD68" i="9"/>
  <c r="BD69" i="9"/>
  <c r="BD88" i="9"/>
  <c r="BE51" i="9"/>
  <c r="BE68" i="9"/>
  <c r="BE69" i="9"/>
  <c r="BE88" i="9"/>
  <c r="BF51" i="9"/>
  <c r="BF68" i="9"/>
  <c r="BF69" i="9"/>
  <c r="BF88" i="9"/>
  <c r="BG51" i="9"/>
  <c r="BG68" i="9"/>
  <c r="BG69" i="9"/>
  <c r="BG88" i="9"/>
  <c r="BH51" i="9"/>
  <c r="BH68" i="9"/>
  <c r="BH69" i="9"/>
  <c r="BH88" i="9"/>
  <c r="R55" i="6"/>
  <c r="R95" i="6"/>
  <c r="R107" i="6"/>
  <c r="O46" i="5"/>
  <c r="CD98" i="6"/>
  <c r="CD103" i="6"/>
  <c r="CE103" i="6"/>
  <c r="CE104" i="6" s="1"/>
  <c r="AX64" i="9"/>
  <c r="AX56" i="9"/>
  <c r="AX58" i="9" s="1"/>
  <c r="L138" i="9"/>
  <c r="K61" i="9"/>
  <c r="L123" i="9"/>
  <c r="I79" i="9"/>
  <c r="AN88" i="9"/>
  <c r="AZ88" i="9"/>
  <c r="H80" i="9"/>
  <c r="F10" i="10" l="1"/>
  <c r="U30" i="7"/>
  <c r="F12" i="10"/>
  <c r="F19" i="10" s="1"/>
  <c r="F22" i="10" s="1"/>
  <c r="F24" i="10" s="1"/>
  <c r="DG55" i="5"/>
  <c r="DE55" i="5"/>
  <c r="DF55" i="5"/>
  <c r="DH55" i="5"/>
  <c r="BM27" i="9"/>
  <c r="DU26" i="6"/>
  <c r="DW26" i="6"/>
  <c r="DU43" i="6"/>
  <c r="DW43" i="6"/>
  <c r="DU44" i="6"/>
  <c r="DW44" i="6"/>
  <c r="DV26" i="6"/>
  <c r="DX26" i="6"/>
  <c r="Z26" i="6" s="1"/>
  <c r="DV43" i="6"/>
  <c r="DX43" i="6"/>
  <c r="DV44" i="6"/>
  <c r="DX44" i="6"/>
  <c r="Z44" i="6" s="1"/>
  <c r="Z23" i="5"/>
  <c r="G9" i="10"/>
  <c r="G11" i="10"/>
  <c r="G13" i="10"/>
  <c r="G21" i="10"/>
  <c r="G16" i="10"/>
  <c r="G20" i="10"/>
  <c r="G15" i="10"/>
  <c r="G74" i="9"/>
  <c r="G23" i="10"/>
  <c r="G8" i="10"/>
  <c r="G14" i="10"/>
  <c r="G17" i="10"/>
  <c r="G18" i="10"/>
  <c r="G77" i="9"/>
  <c r="G132" i="9"/>
  <c r="G25" i="10" s="1"/>
  <c r="H9" i="10"/>
  <c r="H16" i="10"/>
  <c r="H18" i="10"/>
  <c r="H20" i="10"/>
  <c r="H8" i="10"/>
  <c r="H74" i="9"/>
  <c r="H17" i="10"/>
  <c r="H11" i="10"/>
  <c r="H14" i="10"/>
  <c r="H15" i="10"/>
  <c r="H21" i="10"/>
  <c r="H23" i="10"/>
  <c r="H13" i="10"/>
  <c r="H77" i="9"/>
  <c r="H132" i="9"/>
  <c r="H25" i="10" s="1"/>
  <c r="C8" i="10"/>
  <c r="C9" i="10"/>
  <c r="C11" i="10"/>
  <c r="C74" i="9"/>
  <c r="C15" i="10"/>
  <c r="C21" i="10"/>
  <c r="C17" i="10"/>
  <c r="C20" i="10"/>
  <c r="C13" i="10"/>
  <c r="C77" i="9"/>
  <c r="C14" i="10"/>
  <c r="C16" i="10"/>
  <c r="C18" i="10"/>
  <c r="C23" i="10"/>
  <c r="BN87" i="9"/>
  <c r="CT32" i="7"/>
  <c r="DU24" i="5"/>
  <c r="U64" i="7"/>
  <c r="J72" i="9"/>
  <c r="J130" i="9"/>
  <c r="I72" i="9"/>
  <c r="I130" i="9"/>
  <c r="D9" i="10"/>
  <c r="D11" i="10"/>
  <c r="D13" i="10"/>
  <c r="D14" i="10"/>
  <c r="D8" i="10"/>
  <c r="D10" i="10" s="1"/>
  <c r="D15" i="10"/>
  <c r="D77" i="9"/>
  <c r="D74" i="9"/>
  <c r="D21" i="10"/>
  <c r="D17" i="10"/>
  <c r="D16" i="10"/>
  <c r="D18" i="10"/>
  <c r="D20" i="10"/>
  <c r="D23" i="10"/>
  <c r="D132" i="9"/>
  <c r="D25" i="10" s="1"/>
  <c r="E8" i="10"/>
  <c r="E11" i="10"/>
  <c r="E13" i="10"/>
  <c r="E14" i="10"/>
  <c r="E21" i="10"/>
  <c r="E17" i="10"/>
  <c r="E16" i="10"/>
  <c r="E18" i="10"/>
  <c r="E74" i="9"/>
  <c r="E15" i="10"/>
  <c r="E77" i="9"/>
  <c r="E20" i="10"/>
  <c r="E9" i="10"/>
  <c r="F132" i="9"/>
  <c r="F25" i="10" s="1"/>
  <c r="E132" i="9"/>
  <c r="E25" i="10" s="1"/>
  <c r="E23" i="10"/>
  <c r="DQ24" i="5"/>
  <c r="DQ26" i="6"/>
  <c r="DQ44" i="6"/>
  <c r="DQ43" i="6"/>
  <c r="Y23" i="5"/>
  <c r="DT26" i="6"/>
  <c r="Y26" i="6" s="1"/>
  <c r="DT44" i="6"/>
  <c r="Y44" i="6" s="1"/>
  <c r="DS43" i="6"/>
  <c r="DR43" i="6"/>
  <c r="DS44" i="6"/>
  <c r="DT43" i="6"/>
  <c r="DS26" i="6"/>
  <c r="DR26" i="6"/>
  <c r="DR44" i="6"/>
  <c r="BL136" i="9"/>
  <c r="BI57" i="9"/>
  <c r="BH58" i="9"/>
  <c r="BI59" i="9" s="1"/>
  <c r="L94" i="9"/>
  <c r="K8" i="10"/>
  <c r="K11" i="10"/>
  <c r="K13" i="10"/>
  <c r="K15" i="10"/>
  <c r="K77" i="9"/>
  <c r="K17" i="10"/>
  <c r="K18" i="10"/>
  <c r="K20" i="10"/>
  <c r="K9" i="10"/>
  <c r="K74" i="9"/>
  <c r="K16" i="10"/>
  <c r="K23" i="10"/>
  <c r="K14" i="10"/>
  <c r="K21" i="10"/>
  <c r="K73" i="9"/>
  <c r="L73" i="9"/>
  <c r="I38" i="9"/>
  <c r="S25" i="5"/>
  <c r="S35" i="7" s="1"/>
  <c r="L38" i="9"/>
  <c r="K38" i="9"/>
  <c r="J38" i="9"/>
  <c r="DP24" i="5"/>
  <c r="DO24" i="5"/>
  <c r="DJ25" i="6"/>
  <c r="DJ55" i="5" s="1"/>
  <c r="DL25" i="6"/>
  <c r="DL55" i="5" s="1"/>
  <c r="DI25" i="6"/>
  <c r="DI55" i="5" s="1"/>
  <c r="DK45" i="6"/>
  <c r="DI45" i="6"/>
  <c r="DL45" i="6"/>
  <c r="W45" i="6" s="1"/>
  <c r="DJ45" i="6"/>
  <c r="DK25" i="6"/>
  <c r="DK55" i="5" s="1"/>
  <c r="DM24" i="5"/>
  <c r="DM44" i="6"/>
  <c r="DM26" i="6"/>
  <c r="DO26" i="6"/>
  <c r="DN44" i="6"/>
  <c r="DM43" i="6"/>
  <c r="DO44" i="6"/>
  <c r="DP43" i="6"/>
  <c r="DP26" i="6"/>
  <c r="X26" i="6" s="1"/>
  <c r="DP44" i="6"/>
  <c r="X44" i="6" s="1"/>
  <c r="DN43" i="6"/>
  <c r="DN26" i="6"/>
  <c r="DO43" i="6"/>
  <c r="CT21" i="5"/>
  <c r="BM87" i="9"/>
  <c r="DA29" i="6"/>
  <c r="T29" i="6"/>
  <c r="O45" i="5"/>
  <c r="CR21" i="7"/>
  <c r="BI127" i="9"/>
  <c r="BI114" i="9"/>
  <c r="CQ21" i="7"/>
  <c r="CP21" i="7"/>
  <c r="AX54" i="9"/>
  <c r="BF54" i="9"/>
  <c r="J48" i="7"/>
  <c r="V25" i="6"/>
  <c r="W81" i="7"/>
  <c r="W33" i="7"/>
  <c r="W65" i="7"/>
  <c r="W24" i="5"/>
  <c r="W34" i="7" s="1"/>
  <c r="V82" i="7"/>
  <c r="X23" i="5"/>
  <c r="L156" i="9"/>
  <c r="K156" i="9"/>
  <c r="J156" i="9"/>
  <c r="I156" i="9"/>
  <c r="H156" i="9"/>
  <c r="W80" i="7"/>
  <c r="CS21" i="5"/>
  <c r="V20" i="5"/>
  <c r="BM30" i="9"/>
  <c r="AB75" i="9"/>
  <c r="BE54" i="9"/>
  <c r="AW57" i="9"/>
  <c r="AW54" i="9"/>
  <c r="AO54" i="9"/>
  <c r="K87" i="6"/>
  <c r="K84" i="6"/>
  <c r="AG54" i="9"/>
  <c r="I87" i="6"/>
  <c r="I84" i="6"/>
  <c r="Y54" i="9"/>
  <c r="Y32" i="9"/>
  <c r="S17" i="5"/>
  <c r="S27" i="7" s="1"/>
  <c r="V54" i="6"/>
  <c r="AU54" i="9"/>
  <c r="AM54" i="9"/>
  <c r="AE54" i="9"/>
  <c r="AE32" i="9"/>
  <c r="BB57" i="9"/>
  <c r="BB54" i="9"/>
  <c r="AL54" i="9"/>
  <c r="BM105" i="9"/>
  <c r="BH57" i="9"/>
  <c r="BH54" i="9"/>
  <c r="BI55" i="9" s="1"/>
  <c r="I56" i="9"/>
  <c r="AR57" i="9"/>
  <c r="AR54" i="9"/>
  <c r="AD80" i="9"/>
  <c r="AD43" i="9"/>
  <c r="AD47" i="9" s="1"/>
  <c r="AD75" i="9"/>
  <c r="AS54" i="9"/>
  <c r="L87" i="6"/>
  <c r="L84" i="6"/>
  <c r="AK54" i="9"/>
  <c r="J87" i="6"/>
  <c r="J84" i="6"/>
  <c r="AC54" i="9"/>
  <c r="AC32" i="9"/>
  <c r="R35" i="6"/>
  <c r="BG57" i="9"/>
  <c r="BG59" i="9"/>
  <c r="AY54" i="9"/>
  <c r="AQ54" i="9"/>
  <c r="AI54" i="9"/>
  <c r="AA54" i="9"/>
  <c r="AA32" i="9"/>
  <c r="Z80" i="9"/>
  <c r="Z43" i="9"/>
  <c r="Z47" i="9" s="1"/>
  <c r="BD57" i="9"/>
  <c r="L56" i="9"/>
  <c r="Q84" i="6"/>
  <c r="CK87" i="6"/>
  <c r="M87" i="6"/>
  <c r="M106" i="9"/>
  <c r="M135" i="9"/>
  <c r="AP54" i="9"/>
  <c r="AP55" i="9" s="1"/>
  <c r="P84" i="6"/>
  <c r="CG87" i="6"/>
  <c r="P87" i="6" s="1"/>
  <c r="AB80" i="9"/>
  <c r="AB43" i="9"/>
  <c r="AB47" i="9" s="1"/>
  <c r="Q47" i="7"/>
  <c r="BE57" i="9"/>
  <c r="BF57" i="9"/>
  <c r="AO57" i="9"/>
  <c r="AO58" i="9"/>
  <c r="AG57" i="9"/>
  <c r="AH57" i="9"/>
  <c r="F56" i="9"/>
  <c r="AG58" i="9"/>
  <c r="D56" i="9"/>
  <c r="Y57" i="9"/>
  <c r="Z57" i="9"/>
  <c r="C56" i="9"/>
  <c r="Y58" i="9"/>
  <c r="BC59" i="9"/>
  <c r="BC57" i="9"/>
  <c r="BC54" i="9"/>
  <c r="AU57" i="9"/>
  <c r="AM58" i="9"/>
  <c r="AM57" i="9"/>
  <c r="AE58" i="9"/>
  <c r="AF57" i="9"/>
  <c r="AE57" i="9"/>
  <c r="AL58" i="9"/>
  <c r="AL57" i="9"/>
  <c r="O84" i="6"/>
  <c r="CC87" i="6"/>
  <c r="O87" i="6" s="1"/>
  <c r="AV57" i="9"/>
  <c r="O40" i="5"/>
  <c r="AV49" i="9"/>
  <c r="AV51" i="9" s="1"/>
  <c r="N84" i="6"/>
  <c r="BY87" i="6"/>
  <c r="N45" i="5"/>
  <c r="BA57" i="9"/>
  <c r="BA54" i="9"/>
  <c r="AS57" i="9"/>
  <c r="G56" i="9"/>
  <c r="AK58" i="9"/>
  <c r="AK57" i="9"/>
  <c r="E56" i="9"/>
  <c r="AC58" i="9"/>
  <c r="AC57" i="9"/>
  <c r="AD57" i="9"/>
  <c r="BG54" i="9"/>
  <c r="AQ57" i="9"/>
  <c r="AQ58" i="9"/>
  <c r="AI57" i="9"/>
  <c r="AI58" i="9"/>
  <c r="AJ57" i="9"/>
  <c r="AA57" i="9"/>
  <c r="AA58" i="9"/>
  <c r="AB57" i="9"/>
  <c r="AT57" i="9"/>
  <c r="AT54" i="9"/>
  <c r="Z75" i="9"/>
  <c r="Q45" i="5"/>
  <c r="BD54" i="9"/>
  <c r="AN57" i="9"/>
  <c r="H56" i="9"/>
  <c r="AN58" i="9"/>
  <c r="AN54" i="9"/>
  <c r="V56" i="6"/>
  <c r="AP57" i="9"/>
  <c r="AP58" i="9"/>
  <c r="K56" i="9"/>
  <c r="AZ57" i="9"/>
  <c r="P45" i="5"/>
  <c r="AZ54" i="9"/>
  <c r="AX61" i="9"/>
  <c r="AY61" i="9"/>
  <c r="AX57" i="9"/>
  <c r="J56" i="9"/>
  <c r="AY57" i="9"/>
  <c r="O103" i="6"/>
  <c r="CD104" i="6"/>
  <c r="O98" i="6"/>
  <c r="O99" i="6" s="1"/>
  <c r="CD99" i="6"/>
  <c r="AX63" i="9"/>
  <c r="J62" i="9"/>
  <c r="AY63" i="9"/>
  <c r="AZ63" i="9"/>
  <c r="R53" i="6"/>
  <c r="G51" i="9"/>
  <c r="G68" i="9"/>
  <c r="G69" i="9"/>
  <c r="G88" i="9"/>
  <c r="F51" i="9"/>
  <c r="F68" i="9"/>
  <c r="F69" i="9"/>
  <c r="F88" i="9"/>
  <c r="E51" i="9"/>
  <c r="E68" i="9"/>
  <c r="E69" i="9"/>
  <c r="E88" i="9"/>
  <c r="D51" i="9"/>
  <c r="D68" i="9"/>
  <c r="D69" i="9"/>
  <c r="D88" i="9"/>
  <c r="C51" i="9"/>
  <c r="C68" i="9"/>
  <c r="C69" i="9"/>
  <c r="BF156" i="9"/>
  <c r="BF159" i="9"/>
  <c r="BE156" i="9"/>
  <c r="BE159" i="9"/>
  <c r="I98" i="9"/>
  <c r="J131" i="9"/>
  <c r="I120" i="9"/>
  <c r="I131" i="9"/>
  <c r="J98" i="9"/>
  <c r="I119" i="9"/>
  <c r="AU74" i="9"/>
  <c r="AU77" i="9"/>
  <c r="AU132" i="9"/>
  <c r="AU25" i="10" s="1"/>
  <c r="AU20" i="10"/>
  <c r="AU16" i="10"/>
  <c r="AU15" i="10"/>
  <c r="AU13" i="10"/>
  <c r="AU9" i="10"/>
  <c r="AU8" i="10"/>
  <c r="AU11" i="10"/>
  <c r="AU14" i="10"/>
  <c r="AU21" i="10"/>
  <c r="AU17" i="10"/>
  <c r="AU18" i="10"/>
  <c r="AU69" i="9"/>
  <c r="AV74" i="9"/>
  <c r="AV132" i="9"/>
  <c r="AV25" i="10" s="1"/>
  <c r="AV20" i="10"/>
  <c r="AV18" i="10"/>
  <c r="AV17" i="10"/>
  <c r="AV16" i="10"/>
  <c r="AV13" i="10"/>
  <c r="AV11" i="10"/>
  <c r="AV9" i="10"/>
  <c r="AV8" i="10"/>
  <c r="AV14" i="10"/>
  <c r="AV15" i="10"/>
  <c r="AV77" i="9"/>
  <c r="AV21" i="10"/>
  <c r="AV69" i="9"/>
  <c r="AW132" i="9"/>
  <c r="AW25" i="10" s="1"/>
  <c r="Q39" i="5"/>
  <c r="P39" i="5"/>
  <c r="O39" i="5"/>
  <c r="L23" i="10"/>
  <c r="L132" i="9"/>
  <c r="L8" i="10"/>
  <c r="L9" i="10"/>
  <c r="L11" i="10"/>
  <c r="L13" i="10"/>
  <c r="L74" i="9"/>
  <c r="L14" i="10"/>
  <c r="L15" i="10"/>
  <c r="L77" i="9"/>
  <c r="L21" i="10"/>
  <c r="L17" i="10"/>
  <c r="L16" i="10"/>
  <c r="L20" i="10"/>
  <c r="L18" i="10"/>
  <c r="I128" i="9"/>
  <c r="I71" i="9"/>
  <c r="I70" i="9"/>
  <c r="J128" i="9"/>
  <c r="J71" i="9"/>
  <c r="K128" i="9"/>
  <c r="J70" i="9"/>
  <c r="O23" i="7"/>
  <c r="O61" i="7"/>
  <c r="N61" i="7"/>
  <c r="N23" i="7"/>
  <c r="N39" i="5"/>
  <c r="P47" i="7"/>
  <c r="O47" i="7"/>
  <c r="M47" i="7"/>
  <c r="N47" i="7"/>
  <c r="H10" i="10" l="1"/>
  <c r="Y81" i="7"/>
  <c r="Z81" i="7"/>
  <c r="Z65" i="7"/>
  <c r="Z33" i="7"/>
  <c r="C10" i="10"/>
  <c r="C12" i="10" s="1"/>
  <c r="C19" i="10" s="1"/>
  <c r="C22" i="10" s="1"/>
  <c r="C24" i="10" s="1"/>
  <c r="DU45" i="6"/>
  <c r="DW45" i="6"/>
  <c r="Z24" i="5"/>
  <c r="Z34" i="7" s="1"/>
  <c r="DV45" i="6"/>
  <c r="DX45" i="6"/>
  <c r="Z45" i="6" s="1"/>
  <c r="Z82" i="7" s="1"/>
  <c r="DX25" i="6"/>
  <c r="Z43" i="6"/>
  <c r="DW25" i="6"/>
  <c r="DW55" i="5" s="1"/>
  <c r="DV25" i="6"/>
  <c r="DV55" i="5" s="1"/>
  <c r="DU25" i="6"/>
  <c r="DU55" i="5" s="1"/>
  <c r="H12" i="10"/>
  <c r="H19" i="10" s="1"/>
  <c r="H22" i="10" s="1"/>
  <c r="H24" i="10" s="1"/>
  <c r="G10" i="10"/>
  <c r="G12" i="10" s="1"/>
  <c r="G19" i="10" s="1"/>
  <c r="G22" i="10" s="1"/>
  <c r="G24" i="10" s="1"/>
  <c r="D12" i="10"/>
  <c r="D19" i="10" s="1"/>
  <c r="D22" i="10" s="1"/>
  <c r="D24" i="10" s="1"/>
  <c r="DS45" i="6"/>
  <c r="E10" i="10"/>
  <c r="E12" i="10" s="1"/>
  <c r="E19" i="10" s="1"/>
  <c r="E22" i="10" s="1"/>
  <c r="E24" i="10" s="1"/>
  <c r="BM135" i="9"/>
  <c r="BM136" i="9" s="1"/>
  <c r="BN135" i="9"/>
  <c r="BN106" i="9"/>
  <c r="DS25" i="6"/>
  <c r="DS55" i="5" s="1"/>
  <c r="Y65" i="7"/>
  <c r="DQ25" i="6"/>
  <c r="DQ55" i="5" s="1"/>
  <c r="Y43" i="6"/>
  <c r="DT25" i="6"/>
  <c r="DR25" i="6"/>
  <c r="DR55" i="5" s="1"/>
  <c r="DT45" i="6"/>
  <c r="Y45" i="6" s="1"/>
  <c r="Y24" i="5"/>
  <c r="Y34" i="7" s="1"/>
  <c r="V30" i="7"/>
  <c r="AD65" i="7"/>
  <c r="Y33" i="7"/>
  <c r="X43" i="6"/>
  <c r="X80" i="7" s="1"/>
  <c r="DA17" i="5"/>
  <c r="AP59" i="9"/>
  <c r="DR45" i="6"/>
  <c r="DQ45" i="6"/>
  <c r="AY55" i="9"/>
  <c r="AT55" i="9"/>
  <c r="G57" i="9"/>
  <c r="X24" i="5"/>
  <c r="X34" i="7" s="1"/>
  <c r="K10" i="10"/>
  <c r="K12" i="10" s="1"/>
  <c r="K19" i="10" s="1"/>
  <c r="K22" i="10" s="1"/>
  <c r="K24" i="10" s="1"/>
  <c r="I73" i="9"/>
  <c r="I43" i="9"/>
  <c r="I80" i="9"/>
  <c r="J73" i="9"/>
  <c r="L25" i="10"/>
  <c r="J43" i="9"/>
  <c r="J80" i="9"/>
  <c r="K43" i="9"/>
  <c r="K80" i="9"/>
  <c r="L43" i="9"/>
  <c r="L80" i="9"/>
  <c r="W25" i="6"/>
  <c r="W55" i="5" s="1"/>
  <c r="X65" i="7"/>
  <c r="DP25" i="6"/>
  <c r="DP55" i="5" s="1"/>
  <c r="DM25" i="6"/>
  <c r="DM55" i="5" s="1"/>
  <c r="DO25" i="6"/>
  <c r="DO55" i="5" s="1"/>
  <c r="DN25" i="6"/>
  <c r="DN55" i="5" s="1"/>
  <c r="DN45" i="6"/>
  <c r="DM45" i="6"/>
  <c r="DO45" i="6"/>
  <c r="DP45" i="6"/>
  <c r="X45" i="6" s="1"/>
  <c r="AX55" i="9"/>
  <c r="X81" i="7"/>
  <c r="AD80" i="7"/>
  <c r="CV66" i="5"/>
  <c r="T69" i="7"/>
  <c r="DB29" i="6"/>
  <c r="CV64" i="5"/>
  <c r="BC55" i="9"/>
  <c r="CY65" i="5"/>
  <c r="BI128" i="9"/>
  <c r="BI71" i="9"/>
  <c r="BI70" i="9"/>
  <c r="AT59" i="9"/>
  <c r="AV54" i="9"/>
  <c r="AV55" i="9" s="1"/>
  <c r="BG55" i="9"/>
  <c r="AS55" i="9"/>
  <c r="AV10" i="10"/>
  <c r="AV12" i="10" s="1"/>
  <c r="AV19" i="10" s="1"/>
  <c r="AV22" i="10" s="1"/>
  <c r="AU10" i="10"/>
  <c r="AU12" i="10" s="1"/>
  <c r="AU19" i="10" s="1"/>
  <c r="AU22" i="10" s="1"/>
  <c r="H57" i="9"/>
  <c r="E57" i="9"/>
  <c r="D57" i="9"/>
  <c r="V55" i="5"/>
  <c r="V64" i="7"/>
  <c r="W82" i="7"/>
  <c r="X33" i="7"/>
  <c r="AD81" i="7"/>
  <c r="M136" i="9"/>
  <c r="AS59" i="9"/>
  <c r="S16" i="6"/>
  <c r="S55" i="7" s="1"/>
  <c r="W20" i="5"/>
  <c r="AI59" i="9"/>
  <c r="AJ59" i="9"/>
  <c r="AQ59" i="9"/>
  <c r="AC59" i="9"/>
  <c r="AD59" i="9"/>
  <c r="E58" i="9"/>
  <c r="AK59" i="9"/>
  <c r="G58" i="9"/>
  <c r="J49" i="9"/>
  <c r="AL59" i="9"/>
  <c r="AE59" i="9"/>
  <c r="AF59" i="9"/>
  <c r="AM59" i="9"/>
  <c r="AU59" i="9"/>
  <c r="Y59" i="9"/>
  <c r="D58" i="9"/>
  <c r="Z59" i="9"/>
  <c r="C58" i="9"/>
  <c r="F57" i="9"/>
  <c r="AB51" i="9"/>
  <c r="AB69" i="9"/>
  <c r="AB68" i="9"/>
  <c r="S26" i="5"/>
  <c r="L58" i="9"/>
  <c r="BD59" i="9"/>
  <c r="Z51" i="9"/>
  <c r="Z69" i="9"/>
  <c r="Z68" i="9"/>
  <c r="AA55" i="9"/>
  <c r="AB55" i="9"/>
  <c r="AI55" i="9"/>
  <c r="AJ55" i="9"/>
  <c r="AQ55" i="9"/>
  <c r="AC34" i="9"/>
  <c r="AC38" i="9" s="1"/>
  <c r="AC18" i="10"/>
  <c r="AC19" i="10" s="1"/>
  <c r="AC22" i="10" s="1"/>
  <c r="AC24" i="10" s="1"/>
  <c r="AC76" i="9"/>
  <c r="AC92" i="9"/>
  <c r="AC93" i="9" s="1"/>
  <c r="AD51" i="9"/>
  <c r="AD69" i="9"/>
  <c r="AD68" i="9"/>
  <c r="I54" i="9"/>
  <c r="AR55" i="9"/>
  <c r="I57" i="9"/>
  <c r="BH55" i="9"/>
  <c r="S15" i="6"/>
  <c r="BB59" i="9"/>
  <c r="AE55" i="9"/>
  <c r="AF55" i="9"/>
  <c r="AM55" i="9"/>
  <c r="AU55" i="9"/>
  <c r="W54" i="6"/>
  <c r="X54" i="6"/>
  <c r="Y34" i="9"/>
  <c r="Y38" i="9" s="1"/>
  <c r="Y76" i="9"/>
  <c r="Y92" i="9"/>
  <c r="Y93" i="9" s="1"/>
  <c r="Y18" i="10"/>
  <c r="Y19" i="10" s="1"/>
  <c r="Y22" i="10" s="1"/>
  <c r="Y24" i="10" s="1"/>
  <c r="AW59" i="9"/>
  <c r="BE55" i="9"/>
  <c r="BF55" i="9"/>
  <c r="AZ55" i="9"/>
  <c r="K54" i="9"/>
  <c r="K58" i="9"/>
  <c r="AZ59" i="9"/>
  <c r="W56" i="6"/>
  <c r="X56" i="6"/>
  <c r="H54" i="9"/>
  <c r="AN55" i="9"/>
  <c r="AN59" i="9"/>
  <c r="H58" i="9"/>
  <c r="BD55" i="9"/>
  <c r="L54" i="9"/>
  <c r="AA59" i="9"/>
  <c r="AB59" i="9"/>
  <c r="BA55" i="9"/>
  <c r="BA59" i="9"/>
  <c r="BM31" i="9"/>
  <c r="AV59" i="9"/>
  <c r="AG59" i="9"/>
  <c r="AH59" i="9"/>
  <c r="F58" i="9"/>
  <c r="AO59" i="9"/>
  <c r="BE59" i="9"/>
  <c r="BF59" i="9"/>
  <c r="L57" i="9"/>
  <c r="AA34" i="9"/>
  <c r="AA38" i="9" s="1"/>
  <c r="AA76" i="9"/>
  <c r="AA92" i="9"/>
  <c r="AA93" i="9" s="1"/>
  <c r="AA18" i="10"/>
  <c r="AA19" i="10" s="1"/>
  <c r="AA22" i="10" s="1"/>
  <c r="AA24" i="10" s="1"/>
  <c r="R73" i="7"/>
  <c r="AC55" i="9"/>
  <c r="E54" i="9"/>
  <c r="AD55" i="9"/>
  <c r="AK55" i="9"/>
  <c r="G54" i="9"/>
  <c r="AR59" i="9"/>
  <c r="I58" i="9"/>
  <c r="BH59" i="9"/>
  <c r="BM106" i="9"/>
  <c r="S47" i="6"/>
  <c r="AL55" i="9"/>
  <c r="BB55" i="9"/>
  <c r="AE34" i="9"/>
  <c r="AE38" i="9" s="1"/>
  <c r="AE18" i="10"/>
  <c r="AE19" i="10" s="1"/>
  <c r="AE22" i="10" s="1"/>
  <c r="AE24" i="10" s="1"/>
  <c r="AE76" i="9"/>
  <c r="AE92" i="9"/>
  <c r="AE93" i="9" s="1"/>
  <c r="N26" i="9"/>
  <c r="BP26" i="9"/>
  <c r="Y55" i="9"/>
  <c r="C54" i="9"/>
  <c r="Z55" i="9"/>
  <c r="D54" i="9"/>
  <c r="D55" i="9" s="1"/>
  <c r="AG55" i="9"/>
  <c r="F54" i="9"/>
  <c r="AH55" i="9"/>
  <c r="AO55" i="9"/>
  <c r="AW55" i="9"/>
  <c r="N41" i="5"/>
  <c r="M48" i="7"/>
  <c r="O41" i="5"/>
  <c r="O48" i="7"/>
  <c r="P41" i="5"/>
  <c r="P48" i="7"/>
  <c r="Q41" i="5"/>
  <c r="I132" i="9"/>
  <c r="I8" i="10"/>
  <c r="I9" i="10"/>
  <c r="I13" i="10"/>
  <c r="I74" i="9"/>
  <c r="I14" i="10"/>
  <c r="I15" i="10"/>
  <c r="I77" i="9"/>
  <c r="I16" i="10"/>
  <c r="I20" i="10"/>
  <c r="I21" i="10"/>
  <c r="I11" i="10"/>
  <c r="I18" i="10"/>
  <c r="I17" i="10"/>
  <c r="J132" i="9"/>
  <c r="J8" i="10"/>
  <c r="J9" i="10"/>
  <c r="J11" i="10"/>
  <c r="J13" i="10"/>
  <c r="J74" i="9"/>
  <c r="J14" i="10"/>
  <c r="J17" i="10"/>
  <c r="J16" i="10"/>
  <c r="J18" i="10"/>
  <c r="J20" i="10"/>
  <c r="J21" i="10"/>
  <c r="J15" i="10"/>
  <c r="J77" i="9"/>
  <c r="K132" i="9"/>
  <c r="K63" i="9"/>
  <c r="J57" i="9"/>
  <c r="K57" i="9"/>
  <c r="AX59" i="9"/>
  <c r="J58" i="9"/>
  <c r="AY59" i="9"/>
  <c r="L10" i="10"/>
  <c r="L12" i="10" s="1"/>
  <c r="L19" i="10" s="1"/>
  <c r="L22" i="10" s="1"/>
  <c r="L24" i="10" s="1"/>
  <c r="BP85" i="9" l="1"/>
  <c r="DB17" i="5"/>
  <c r="Z80" i="7"/>
  <c r="DX55" i="5"/>
  <c r="Z25" i="6"/>
  <c r="F59" i="9"/>
  <c r="X82" i="7"/>
  <c r="S59" i="7"/>
  <c r="S85" i="7"/>
  <c r="S54" i="7"/>
  <c r="BN136" i="9"/>
  <c r="BO136" i="9"/>
  <c r="Y82" i="7"/>
  <c r="Y80" i="7"/>
  <c r="Y25" i="6"/>
  <c r="DT55" i="5"/>
  <c r="AD82" i="7"/>
  <c r="W64" i="7"/>
  <c r="W30" i="7"/>
  <c r="K25" i="10"/>
  <c r="J25" i="10"/>
  <c r="L47" i="9"/>
  <c r="K47" i="9"/>
  <c r="I25" i="10"/>
  <c r="J47" i="9"/>
  <c r="I47" i="9"/>
  <c r="I69" i="9" s="1"/>
  <c r="X25" i="6"/>
  <c r="L55" i="9"/>
  <c r="F55" i="9"/>
  <c r="I59" i="9"/>
  <c r="G55" i="9"/>
  <c r="H59" i="9"/>
  <c r="DA15" i="6"/>
  <c r="CZ65" i="5"/>
  <c r="DC29" i="6"/>
  <c r="S35" i="6"/>
  <c r="J54" i="9"/>
  <c r="S53" i="5"/>
  <c r="N85" i="9"/>
  <c r="E59" i="9"/>
  <c r="S18" i="5"/>
  <c r="S28" i="7" s="1"/>
  <c r="AE80" i="9"/>
  <c r="AE43" i="9"/>
  <c r="AE47" i="9" s="1"/>
  <c r="E55" i="9"/>
  <c r="X20" i="5"/>
  <c r="H55" i="9"/>
  <c r="Y94" i="9"/>
  <c r="Y75" i="9"/>
  <c r="Z94" i="9"/>
  <c r="Y80" i="9"/>
  <c r="Y43" i="9"/>
  <c r="Y47" i="9" s="1"/>
  <c r="S17" i="6"/>
  <c r="I55" i="9"/>
  <c r="AC80" i="9"/>
  <c r="AC43" i="9"/>
  <c r="AC47" i="9" s="1"/>
  <c r="D59" i="9"/>
  <c r="S41" i="6"/>
  <c r="BQ26" i="9"/>
  <c r="AE94" i="9"/>
  <c r="AF94" i="9"/>
  <c r="AE75" i="9"/>
  <c r="AA94" i="9"/>
  <c r="AA75" i="9"/>
  <c r="AB94" i="9"/>
  <c r="AA80" i="9"/>
  <c r="AA43" i="9"/>
  <c r="AA47" i="9" s="1"/>
  <c r="S40" i="6"/>
  <c r="S76" i="7" s="1"/>
  <c r="S56" i="5"/>
  <c r="AC94" i="9"/>
  <c r="AC75" i="9"/>
  <c r="AD94" i="9"/>
  <c r="S28" i="6"/>
  <c r="L59" i="9"/>
  <c r="S39" i="6"/>
  <c r="S75" i="7" s="1"/>
  <c r="N27" i="9"/>
  <c r="S12" i="6"/>
  <c r="S53" i="7" s="1"/>
  <c r="G59" i="9"/>
  <c r="BJ142" i="9"/>
  <c r="J59" i="9"/>
  <c r="K59" i="9"/>
  <c r="S52" i="6"/>
  <c r="J10" i="10"/>
  <c r="J12" i="10" s="1"/>
  <c r="J19" i="10" s="1"/>
  <c r="J22" i="10" s="1"/>
  <c r="I10" i="10"/>
  <c r="I12" i="10" s="1"/>
  <c r="I19" i="10" s="1"/>
  <c r="I22" i="10" s="1"/>
  <c r="Z30" i="7" l="1"/>
  <c r="BR85" i="9"/>
  <c r="BQ85" i="9"/>
  <c r="DA56" i="5"/>
  <c r="Z55" i="5"/>
  <c r="Z64" i="7"/>
  <c r="DC17" i="5"/>
  <c r="X64" i="7"/>
  <c r="S68" i="7"/>
  <c r="S77" i="7"/>
  <c r="S73" i="7"/>
  <c r="S56" i="7"/>
  <c r="Y55" i="5"/>
  <c r="Y64" i="7"/>
  <c r="BP27" i="9"/>
  <c r="CW32" i="7" s="1"/>
  <c r="X55" i="5"/>
  <c r="Y30" i="7"/>
  <c r="J51" i="9"/>
  <c r="X30" i="7"/>
  <c r="K51" i="9"/>
  <c r="K69" i="9"/>
  <c r="K68" i="9"/>
  <c r="K88" i="9"/>
  <c r="L51" i="9"/>
  <c r="L69" i="9"/>
  <c r="L68" i="9"/>
  <c r="L88" i="9"/>
  <c r="I88" i="9"/>
  <c r="I51" i="9"/>
  <c r="J88" i="9"/>
  <c r="J69" i="9"/>
  <c r="J55" i="9"/>
  <c r="DD29" i="6"/>
  <c r="DA40" i="6"/>
  <c r="DB15" i="6"/>
  <c r="K55" i="9"/>
  <c r="N87" i="9"/>
  <c r="S30" i="5"/>
  <c r="S40" i="7" s="1"/>
  <c r="S19" i="5"/>
  <c r="BP30" i="9"/>
  <c r="N30" i="9"/>
  <c r="S52" i="5"/>
  <c r="S64" i="5"/>
  <c r="AA51" i="9"/>
  <c r="AA69" i="9"/>
  <c r="AA88" i="9"/>
  <c r="AA68" i="9"/>
  <c r="AB88" i="9"/>
  <c r="T17" i="5"/>
  <c r="S66" i="5"/>
  <c r="BP105" i="9"/>
  <c r="BP135" i="9" s="1"/>
  <c r="S65" i="5"/>
  <c r="AC51" i="9"/>
  <c r="AC69" i="9"/>
  <c r="AC68" i="9"/>
  <c r="AC88" i="9"/>
  <c r="AD88" i="9"/>
  <c r="S54" i="5"/>
  <c r="N105" i="9"/>
  <c r="Y51" i="9"/>
  <c r="Y69" i="9"/>
  <c r="Y68" i="9"/>
  <c r="Y88" i="9"/>
  <c r="Z88" i="9"/>
  <c r="AE51" i="9"/>
  <c r="AE69" i="9"/>
  <c r="AE68" i="9"/>
  <c r="AE88" i="9"/>
  <c r="AF88" i="9"/>
  <c r="BJ149" i="9"/>
  <c r="BJ101" i="9"/>
  <c r="BJ102" i="9" s="1"/>
  <c r="BJ99" i="9"/>
  <c r="BJ133" i="9" s="1"/>
  <c r="BJ22" i="9"/>
  <c r="S91" i="6"/>
  <c r="S105" i="6"/>
  <c r="BJ154" i="9"/>
  <c r="DA65" i="5" l="1"/>
  <c r="DB56" i="5"/>
  <c r="DD17" i="5"/>
  <c r="BP31" i="9"/>
  <c r="S21" i="5"/>
  <c r="S29" i="7"/>
  <c r="BP87" i="9"/>
  <c r="BQ27" i="9"/>
  <c r="CX32" i="7" s="1"/>
  <c r="DA16" i="6"/>
  <c r="DA53" i="5" s="1"/>
  <c r="DB40" i="6"/>
  <c r="DC15" i="6"/>
  <c r="DE29" i="6"/>
  <c r="U29" i="6"/>
  <c r="CQ59" i="5"/>
  <c r="N31" i="9"/>
  <c r="BJ134" i="9"/>
  <c r="BQ30" i="9"/>
  <c r="BQ105" i="9"/>
  <c r="T27" i="7"/>
  <c r="O26" i="9"/>
  <c r="N106" i="9"/>
  <c r="N135" i="9"/>
  <c r="BP136" i="9"/>
  <c r="BP106" i="9"/>
  <c r="BK142" i="9"/>
  <c r="R21" i="6"/>
  <c r="BK149" i="9"/>
  <c r="BJ155" i="9"/>
  <c r="S107" i="6"/>
  <c r="S55" i="6"/>
  <c r="S95" i="6"/>
  <c r="BJ153" i="9"/>
  <c r="BJ151" i="9" s="1"/>
  <c r="BJ79" i="9"/>
  <c r="BJ84" i="9"/>
  <c r="BJ17" i="9"/>
  <c r="BK99" i="9"/>
  <c r="R19" i="6"/>
  <c r="BJ100" i="9"/>
  <c r="BJ141" i="9"/>
  <c r="BJ143" i="9" s="1"/>
  <c r="BJ113" i="9"/>
  <c r="BR135" i="9" l="1"/>
  <c r="BR106" i="9"/>
  <c r="BQ87" i="9"/>
  <c r="BR87" i="9"/>
  <c r="BQ31" i="9"/>
  <c r="DC56" i="5"/>
  <c r="DB65" i="5"/>
  <c r="DE17" i="5"/>
  <c r="DA12" i="6"/>
  <c r="DA52" i="5" s="1"/>
  <c r="BK133" i="9"/>
  <c r="BK134" i="9" s="1"/>
  <c r="BL100" i="9"/>
  <c r="BL133" i="9"/>
  <c r="DA25" i="5"/>
  <c r="T25" i="5"/>
  <c r="U69" i="7"/>
  <c r="DF29" i="6"/>
  <c r="DA47" i="6"/>
  <c r="DC40" i="6"/>
  <c r="DD15" i="6"/>
  <c r="DB16" i="6"/>
  <c r="DB53" i="5" s="1"/>
  <c r="N136" i="9"/>
  <c r="T16" i="6"/>
  <c r="O85" i="9"/>
  <c r="BT26" i="9"/>
  <c r="BT85" i="9" s="1"/>
  <c r="BQ106" i="9"/>
  <c r="T15" i="6"/>
  <c r="T47" i="6"/>
  <c r="BQ135" i="9"/>
  <c r="BQ136" i="9" s="1"/>
  <c r="BJ150" i="9"/>
  <c r="BJ156" i="9" s="1"/>
  <c r="BJ152" i="9"/>
  <c r="BK101" i="9"/>
  <c r="BJ103" i="9"/>
  <c r="R76" i="6"/>
  <c r="R24" i="7" s="1"/>
  <c r="BJ114" i="9"/>
  <c r="M99" i="9"/>
  <c r="BK100" i="9"/>
  <c r="BK141" i="9"/>
  <c r="BK143" i="9" s="1"/>
  <c r="CP59" i="5"/>
  <c r="S53" i="6"/>
  <c r="R60" i="7"/>
  <c r="R68" i="6"/>
  <c r="BK154" i="9"/>
  <c r="BJ127" i="9"/>
  <c r="BJ128" i="9" s="1"/>
  <c r="BR136" i="9" l="1"/>
  <c r="BS136" i="9"/>
  <c r="DB12" i="6"/>
  <c r="DB52" i="5" s="1"/>
  <c r="DF17" i="5"/>
  <c r="DD56" i="5"/>
  <c r="DC65" i="5"/>
  <c r="BL149" i="9"/>
  <c r="BL150" i="9" s="1"/>
  <c r="BL156" i="9" s="1"/>
  <c r="BL155" i="9"/>
  <c r="BK102" i="9"/>
  <c r="BL102" i="9"/>
  <c r="BL134" i="9"/>
  <c r="BL79" i="9"/>
  <c r="T26" i="5"/>
  <c r="T35" i="7"/>
  <c r="DB25" i="5"/>
  <c r="DA26" i="5"/>
  <c r="DA28" i="6"/>
  <c r="DA17" i="6"/>
  <c r="DA18" i="5"/>
  <c r="DA39" i="6"/>
  <c r="DD40" i="6"/>
  <c r="DE15" i="6"/>
  <c r="DB47" i="6"/>
  <c r="DA41" i="6"/>
  <c r="DA105" i="6"/>
  <c r="DA107" i="6" s="1"/>
  <c r="DC16" i="6"/>
  <c r="DC53" i="5" s="1"/>
  <c r="DA91" i="6"/>
  <c r="DA95" i="6" s="1"/>
  <c r="DG29" i="6"/>
  <c r="T55" i="7"/>
  <c r="T53" i="5"/>
  <c r="T18" i="5"/>
  <c r="T17" i="6"/>
  <c r="T85" i="7"/>
  <c r="T59" i="7"/>
  <c r="T40" i="6"/>
  <c r="T56" i="5"/>
  <c r="T54" i="7"/>
  <c r="BU26" i="9"/>
  <c r="BU85" i="9" s="1"/>
  <c r="T28" i="6"/>
  <c r="T41" i="6"/>
  <c r="T12" i="6"/>
  <c r="T39" i="6"/>
  <c r="BK155" i="9"/>
  <c r="M142" i="9"/>
  <c r="T52" i="6"/>
  <c r="R75" i="6"/>
  <c r="R77" i="6" s="1"/>
  <c r="M100" i="9"/>
  <c r="M141" i="9"/>
  <c r="M133" i="9"/>
  <c r="BK153" i="9"/>
  <c r="BK151" i="9" s="1"/>
  <c r="BL152" i="9" s="1"/>
  <c r="R78" i="6"/>
  <c r="R74" i="6"/>
  <c r="BJ104" i="9"/>
  <c r="BJ144" i="9"/>
  <c r="R20" i="6"/>
  <c r="BJ71" i="9"/>
  <c r="DC12" i="6" l="1"/>
  <c r="DC52" i="5" s="1"/>
  <c r="DA19" i="5"/>
  <c r="DE56" i="5"/>
  <c r="DG17" i="5"/>
  <c r="DA66" i="5"/>
  <c r="DA64" i="5"/>
  <c r="DA30" i="5"/>
  <c r="DD65" i="5"/>
  <c r="BT27" i="9"/>
  <c r="DA32" i="7" s="1"/>
  <c r="T30" i="5"/>
  <c r="BT87" i="9"/>
  <c r="DB17" i="6"/>
  <c r="DB19" i="5" s="1"/>
  <c r="DA54" i="5"/>
  <c r="DB28" i="6"/>
  <c r="DC25" i="5"/>
  <c r="DB26" i="5"/>
  <c r="O27" i="9"/>
  <c r="DB18" i="5"/>
  <c r="DA21" i="5"/>
  <c r="DH29" i="6"/>
  <c r="DB105" i="6"/>
  <c r="DB107" i="6" s="1"/>
  <c r="DA53" i="6"/>
  <c r="DB41" i="6"/>
  <c r="DC47" i="6"/>
  <c r="DE40" i="6"/>
  <c r="DF15" i="6"/>
  <c r="DB91" i="6"/>
  <c r="DB95" i="6" s="1"/>
  <c r="DA55" i="6"/>
  <c r="DD16" i="6"/>
  <c r="DD53" i="5" s="1"/>
  <c r="DD12" i="6"/>
  <c r="DD52" i="5" s="1"/>
  <c r="DB39" i="6"/>
  <c r="M134" i="9"/>
  <c r="BT30" i="9"/>
  <c r="O30" i="9"/>
  <c r="T28" i="7"/>
  <c r="T68" i="7"/>
  <c r="T65" i="5"/>
  <c r="T76" i="7"/>
  <c r="BT105" i="9"/>
  <c r="BT135" i="9" s="1"/>
  <c r="T64" i="5"/>
  <c r="T75" i="7"/>
  <c r="T19" i="5"/>
  <c r="T52" i="5"/>
  <c r="T53" i="7"/>
  <c r="T66" i="5"/>
  <c r="T77" i="7"/>
  <c r="BV26" i="9"/>
  <c r="BV85" i="9" s="1"/>
  <c r="U17" i="5"/>
  <c r="T54" i="5"/>
  <c r="T56" i="7"/>
  <c r="O105" i="9"/>
  <c r="BK150" i="9"/>
  <c r="BK156" i="9" s="1"/>
  <c r="BK152" i="9"/>
  <c r="BK113" i="9"/>
  <c r="R67" i="6"/>
  <c r="R51" i="5"/>
  <c r="R57" i="5" s="1"/>
  <c r="BJ145" i="9"/>
  <c r="BJ146" i="9"/>
  <c r="BK103" i="9"/>
  <c r="BL104" i="9" s="1"/>
  <c r="R80" i="6"/>
  <c r="M153" i="9"/>
  <c r="BK22" i="9"/>
  <c r="BL84" i="9" s="1"/>
  <c r="R14" i="5"/>
  <c r="M143" i="9"/>
  <c r="M154" i="9"/>
  <c r="DF56" i="5" l="1"/>
  <c r="DE65" i="5"/>
  <c r="DH17" i="5"/>
  <c r="DB64" i="5"/>
  <c r="DB66" i="5"/>
  <c r="BU27" i="9"/>
  <c r="DB32" i="7" s="1"/>
  <c r="T40" i="7"/>
  <c r="BL127" i="9"/>
  <c r="BL114" i="9"/>
  <c r="DD25" i="5"/>
  <c r="DC26" i="5"/>
  <c r="DC28" i="6"/>
  <c r="DC17" i="6"/>
  <c r="DC19" i="5" s="1"/>
  <c r="DB54" i="5"/>
  <c r="O87" i="9"/>
  <c r="DB30" i="5"/>
  <c r="DC18" i="5"/>
  <c r="DB21" i="5"/>
  <c r="DE12" i="6"/>
  <c r="DE52" i="5" s="1"/>
  <c r="DE16" i="6"/>
  <c r="DC91" i="6"/>
  <c r="DC95" i="6" s="1"/>
  <c r="DB55" i="6"/>
  <c r="DG15" i="6"/>
  <c r="DF40" i="6"/>
  <c r="DD47" i="6"/>
  <c r="DC41" i="6"/>
  <c r="DC105" i="6"/>
  <c r="DC107" i="6" s="1"/>
  <c r="DB53" i="6"/>
  <c r="DC39" i="6"/>
  <c r="DI29" i="6"/>
  <c r="V29" i="6"/>
  <c r="BU30" i="9"/>
  <c r="O106" i="9"/>
  <c r="O135" i="9"/>
  <c r="BT31" i="9"/>
  <c r="BT136" i="9"/>
  <c r="O31" i="9"/>
  <c r="T29" i="7"/>
  <c r="T21" i="5"/>
  <c r="BU105" i="9"/>
  <c r="BU135" i="9" s="1"/>
  <c r="BU136" i="9" s="1"/>
  <c r="P26" i="9"/>
  <c r="U27" i="7"/>
  <c r="BW26" i="9"/>
  <c r="BW85" i="9" s="1"/>
  <c r="BT106" i="9"/>
  <c r="N149" i="9"/>
  <c r="M151" i="9"/>
  <c r="M155" i="9"/>
  <c r="T105" i="6"/>
  <c r="T91" i="6"/>
  <c r="M22" i="9"/>
  <c r="BK79" i="9"/>
  <c r="BK84" i="9"/>
  <c r="M103" i="9"/>
  <c r="R22" i="6"/>
  <c r="BK104" i="9"/>
  <c r="BK144" i="9"/>
  <c r="M113" i="9"/>
  <c r="S58" i="5"/>
  <c r="M101" i="9"/>
  <c r="R69" i="6"/>
  <c r="BK114" i="9"/>
  <c r="BK127" i="9"/>
  <c r="BK128" i="9" s="1"/>
  <c r="DE53" i="5" l="1"/>
  <c r="DG56" i="5"/>
  <c r="DF65" i="5"/>
  <c r="DI17" i="5"/>
  <c r="DJ17" i="5" s="1"/>
  <c r="DK17" i="5" s="1"/>
  <c r="DL17" i="5" s="1"/>
  <c r="DM17" i="5" s="1"/>
  <c r="DN17" i="5" s="1"/>
  <c r="DO17" i="5" s="1"/>
  <c r="DP17" i="5" s="1"/>
  <c r="DQ17" i="5" s="1"/>
  <c r="DC64" i="5"/>
  <c r="DC66" i="5"/>
  <c r="DC30" i="5"/>
  <c r="BU87" i="9"/>
  <c r="BV27" i="9"/>
  <c r="DC32" i="7" s="1"/>
  <c r="BL128" i="9"/>
  <c r="BL70" i="9"/>
  <c r="BL71" i="9"/>
  <c r="DD17" i="6"/>
  <c r="DC54" i="5"/>
  <c r="DD28" i="6"/>
  <c r="DE25" i="5"/>
  <c r="DD26" i="5"/>
  <c r="U25" i="5"/>
  <c r="DD18" i="5"/>
  <c r="DC21" i="5"/>
  <c r="DG40" i="6"/>
  <c r="DH15" i="6"/>
  <c r="V69" i="7"/>
  <c r="DJ29" i="6"/>
  <c r="DD39" i="6"/>
  <c r="DD105" i="6"/>
  <c r="DD107" i="6" s="1"/>
  <c r="DC53" i="6"/>
  <c r="DD41" i="6"/>
  <c r="DE47" i="6"/>
  <c r="DD91" i="6"/>
  <c r="DD95" i="6" s="1"/>
  <c r="DC55" i="6"/>
  <c r="DF16" i="6"/>
  <c r="DF12" i="6"/>
  <c r="DF52" i="5" s="1"/>
  <c r="M102" i="9"/>
  <c r="O136" i="9"/>
  <c r="U16" i="6"/>
  <c r="P85" i="9"/>
  <c r="BV30" i="9"/>
  <c r="BU31" i="9"/>
  <c r="U47" i="6"/>
  <c r="U15" i="6"/>
  <c r="BV105" i="9"/>
  <c r="BV135" i="9" s="1"/>
  <c r="BV136" i="9" s="1"/>
  <c r="BX26" i="9"/>
  <c r="BX85" i="9" s="1"/>
  <c r="BU106" i="9"/>
  <c r="CR59" i="5"/>
  <c r="R71" i="6"/>
  <c r="M114" i="9"/>
  <c r="M127" i="9"/>
  <c r="BK145" i="9"/>
  <c r="BK146" i="9"/>
  <c r="R23" i="6"/>
  <c r="M104" i="9"/>
  <c r="M144" i="9"/>
  <c r="M79" i="9"/>
  <c r="M84" i="9"/>
  <c r="T55" i="6"/>
  <c r="T95" i="6"/>
  <c r="T107" i="6"/>
  <c r="M150" i="9"/>
  <c r="M152" i="9"/>
  <c r="BV87" i="9" l="1"/>
  <c r="DF53" i="5"/>
  <c r="DG65" i="5"/>
  <c r="DH56" i="5"/>
  <c r="CJ26" i="9"/>
  <c r="DR17" i="5"/>
  <c r="DD19" i="5"/>
  <c r="DD21" i="5" s="1"/>
  <c r="DD64" i="5"/>
  <c r="DD66" i="5"/>
  <c r="DD30" i="5"/>
  <c r="U18" i="5"/>
  <c r="P30" i="9" s="1"/>
  <c r="BW27" i="9"/>
  <c r="DD32" i="7" s="1"/>
  <c r="U26" i="5"/>
  <c r="U35" i="7"/>
  <c r="DF25" i="5"/>
  <c r="DE26" i="5"/>
  <c r="DE28" i="6"/>
  <c r="DE17" i="6"/>
  <c r="DD54" i="5"/>
  <c r="DE19" i="5"/>
  <c r="DE18" i="5"/>
  <c r="DG12" i="6"/>
  <c r="DF47" i="6"/>
  <c r="DE41" i="6"/>
  <c r="DE105" i="6"/>
  <c r="DE107" i="6" s="1"/>
  <c r="DD53" i="6"/>
  <c r="DK29" i="6"/>
  <c r="DI15" i="6"/>
  <c r="DI56" i="5" s="1"/>
  <c r="DH40" i="6"/>
  <c r="DG16" i="6"/>
  <c r="DE91" i="6"/>
  <c r="DE95" i="6" s="1"/>
  <c r="DD55" i="6"/>
  <c r="DE39" i="6"/>
  <c r="BM149" i="9"/>
  <c r="M128" i="9"/>
  <c r="U55" i="7"/>
  <c r="U53" i="5"/>
  <c r="M156" i="9"/>
  <c r="BW30" i="9"/>
  <c r="U41" i="6"/>
  <c r="U39" i="6"/>
  <c r="BV31" i="9"/>
  <c r="BY26" i="9"/>
  <c r="BY85" i="9" s="1"/>
  <c r="U28" i="6"/>
  <c r="U12" i="6"/>
  <c r="BV106" i="9"/>
  <c r="U17" i="6"/>
  <c r="BW105" i="9"/>
  <c r="U40" i="6"/>
  <c r="U54" i="7"/>
  <c r="U56" i="5"/>
  <c r="U59" i="7"/>
  <c r="U85" i="7"/>
  <c r="T53" i="6"/>
  <c r="U52" i="6"/>
  <c r="M145" i="9"/>
  <c r="M146" i="9"/>
  <c r="R11" i="6"/>
  <c r="BJ97" i="9"/>
  <c r="BJ122" i="9"/>
  <c r="R61" i="7"/>
  <c r="R23" i="7"/>
  <c r="R60" i="5"/>
  <c r="BW31" i="9" l="1"/>
  <c r="U19" i="5"/>
  <c r="DE66" i="5"/>
  <c r="DE64" i="5"/>
  <c r="DE30" i="5"/>
  <c r="DG53" i="5"/>
  <c r="DH65" i="5"/>
  <c r="BX27" i="9"/>
  <c r="DE32" i="7" s="1"/>
  <c r="CK26" i="9"/>
  <c r="CK85" i="9" s="1"/>
  <c r="DS17" i="5"/>
  <c r="U28" i="7"/>
  <c r="U30" i="5"/>
  <c r="BW87" i="9"/>
  <c r="U21" i="5"/>
  <c r="DH12" i="6"/>
  <c r="DH52" i="5" s="1"/>
  <c r="DG52" i="5"/>
  <c r="DF17" i="6"/>
  <c r="DF19" i="5" s="1"/>
  <c r="DE54" i="5"/>
  <c r="DF28" i="6"/>
  <c r="DG25" i="5"/>
  <c r="DF26" i="5"/>
  <c r="P27" i="9"/>
  <c r="DF18" i="5"/>
  <c r="DE21" i="5"/>
  <c r="DJ15" i="6"/>
  <c r="DJ56" i="5" s="1"/>
  <c r="DI40" i="6"/>
  <c r="DI65" i="5" s="1"/>
  <c r="DF105" i="6"/>
  <c r="DF107" i="6" s="1"/>
  <c r="DE53" i="6"/>
  <c r="DF41" i="6"/>
  <c r="DI12" i="6"/>
  <c r="DF39" i="6"/>
  <c r="DF91" i="6"/>
  <c r="DF95" i="6" s="1"/>
  <c r="DE55" i="6"/>
  <c r="DH16" i="6"/>
  <c r="DL29" i="6"/>
  <c r="DG47" i="6"/>
  <c r="U68" i="7"/>
  <c r="P31" i="9"/>
  <c r="BX30" i="9"/>
  <c r="BW106" i="9"/>
  <c r="BX31" i="9"/>
  <c r="U56" i="7"/>
  <c r="U54" i="5"/>
  <c r="P105" i="9"/>
  <c r="BW135" i="9"/>
  <c r="BW136" i="9" s="1"/>
  <c r="U53" i="7"/>
  <c r="U52" i="5"/>
  <c r="U29" i="7"/>
  <c r="U76" i="7"/>
  <c r="U65" i="5"/>
  <c r="BX105" i="9"/>
  <c r="BZ26" i="9"/>
  <c r="BZ85" i="9" s="1"/>
  <c r="V17" i="5"/>
  <c r="U75" i="7"/>
  <c r="U64" i="5"/>
  <c r="U77" i="7"/>
  <c r="U66" i="5"/>
  <c r="R21" i="7"/>
  <c r="R59" i="5"/>
  <c r="BK17" i="9"/>
  <c r="R11" i="5"/>
  <c r="BJ28" i="9"/>
  <c r="BJ29" i="9"/>
  <c r="BJ32" i="9"/>
  <c r="BJ98" i="9"/>
  <c r="BJ120" i="9"/>
  <c r="BJ119" i="9"/>
  <c r="BJ131" i="9"/>
  <c r="R13" i="6"/>
  <c r="BX87" i="9" l="1"/>
  <c r="DF66" i="5"/>
  <c r="DF64" i="5"/>
  <c r="DF30" i="5"/>
  <c r="DH53" i="5"/>
  <c r="BY27" i="9"/>
  <c r="DF32" i="7" s="1"/>
  <c r="CL26" i="9"/>
  <c r="CL85" i="9" s="1"/>
  <c r="DT17" i="5"/>
  <c r="U40" i="7"/>
  <c r="R31" i="6"/>
  <c r="CS59" i="5"/>
  <c r="DJ12" i="6"/>
  <c r="DJ52" i="5" s="1"/>
  <c r="DI52" i="5"/>
  <c r="P87" i="9"/>
  <c r="DH25" i="5"/>
  <c r="DG26" i="5"/>
  <c r="DG28" i="6"/>
  <c r="DG17" i="6"/>
  <c r="DF54" i="5"/>
  <c r="DG19" i="5"/>
  <c r="DG18" i="5"/>
  <c r="DF21" i="5"/>
  <c r="DM29" i="6"/>
  <c r="W29" i="6"/>
  <c r="DI16" i="6"/>
  <c r="DI53" i="5" s="1"/>
  <c r="DG91" i="6"/>
  <c r="DG95" i="6" s="1"/>
  <c r="DF55" i="6"/>
  <c r="DG39" i="6"/>
  <c r="BM153" i="9"/>
  <c r="DH47" i="6"/>
  <c r="DG41" i="6"/>
  <c r="DG105" i="6"/>
  <c r="DG107" i="6" s="1"/>
  <c r="DF53" i="6"/>
  <c r="DJ40" i="6"/>
  <c r="DJ65" i="5" s="1"/>
  <c r="DK15" i="6"/>
  <c r="DK56" i="5" s="1"/>
  <c r="BY30" i="9"/>
  <c r="V27" i="7"/>
  <c r="Q26" i="9"/>
  <c r="CA26" i="9"/>
  <c r="CA85" i="9" s="1"/>
  <c r="BX106" i="9"/>
  <c r="BY31" i="9"/>
  <c r="P106" i="9"/>
  <c r="P135" i="9"/>
  <c r="BY105" i="9"/>
  <c r="BX135" i="9"/>
  <c r="BX136" i="9" s="1"/>
  <c r="BK97" i="9"/>
  <c r="BK122" i="9"/>
  <c r="BJ132" i="9"/>
  <c r="BJ25" i="10" s="1"/>
  <c r="BJ13" i="10"/>
  <c r="BJ74" i="9"/>
  <c r="BJ14" i="10"/>
  <c r="BJ17" i="10"/>
  <c r="BJ11" i="10"/>
  <c r="BJ8" i="10"/>
  <c r="BJ18" i="10"/>
  <c r="BJ92" i="9"/>
  <c r="BJ15" i="10"/>
  <c r="BJ77" i="9"/>
  <c r="BJ86" i="9"/>
  <c r="M17" i="9"/>
  <c r="BK71" i="9"/>
  <c r="BJ16" i="10"/>
  <c r="BY87" i="9" l="1"/>
  <c r="DG66" i="5"/>
  <c r="DG64" i="5"/>
  <c r="DG30" i="5"/>
  <c r="BZ27" i="9"/>
  <c r="DG32" i="7" s="1"/>
  <c r="Y17" i="5"/>
  <c r="T26" i="9" s="1"/>
  <c r="CM26" i="9"/>
  <c r="CM85" i="9" s="1"/>
  <c r="DU17" i="5"/>
  <c r="DK12" i="6"/>
  <c r="DK52" i="5" s="1"/>
  <c r="DH17" i="6"/>
  <c r="DG54" i="5"/>
  <c r="DH19" i="5"/>
  <c r="DH28" i="6"/>
  <c r="DI25" i="5"/>
  <c r="DH26" i="5"/>
  <c r="V25" i="5"/>
  <c r="DH18" i="5"/>
  <c r="DG21" i="5"/>
  <c r="CS13" i="6"/>
  <c r="DL15" i="6"/>
  <c r="DL56" i="5" s="1"/>
  <c r="DK40" i="6"/>
  <c r="DK65" i="5" s="1"/>
  <c r="DH105" i="6"/>
  <c r="DH107" i="6" s="1"/>
  <c r="DG53" i="6"/>
  <c r="DH41" i="6"/>
  <c r="DI47" i="6"/>
  <c r="DH39" i="6"/>
  <c r="DH91" i="6"/>
  <c r="DH95" i="6" s="1"/>
  <c r="DG55" i="6"/>
  <c r="DJ16" i="6"/>
  <c r="DJ53" i="5" s="1"/>
  <c r="W69" i="7"/>
  <c r="DN29" i="6"/>
  <c r="P136" i="9"/>
  <c r="V16" i="6"/>
  <c r="Q85" i="9"/>
  <c r="BZ30" i="9"/>
  <c r="V15" i="6"/>
  <c r="BZ105" i="9"/>
  <c r="BZ135" i="9" s="1"/>
  <c r="CB26" i="9"/>
  <c r="CB85" i="9" s="1"/>
  <c r="BY106" i="9"/>
  <c r="BY135" i="9"/>
  <c r="BY136" i="9" s="1"/>
  <c r="V47" i="6"/>
  <c r="M71" i="9"/>
  <c r="BK28" i="9"/>
  <c r="R28" i="5"/>
  <c r="BK32" i="9"/>
  <c r="R31" i="5"/>
  <c r="BK29" i="9"/>
  <c r="R29" i="5"/>
  <c r="BK98" i="9"/>
  <c r="BK120" i="9"/>
  <c r="BK119" i="9"/>
  <c r="BK131" i="9"/>
  <c r="M97" i="9"/>
  <c r="M122" i="9"/>
  <c r="R52" i="7"/>
  <c r="U91" i="6"/>
  <c r="U105" i="6"/>
  <c r="DH66" i="5" l="1"/>
  <c r="DH64" i="5"/>
  <c r="BZ87" i="9"/>
  <c r="CA27" i="9"/>
  <c r="DH32" i="7" s="1"/>
  <c r="V18" i="5"/>
  <c r="V28" i="7" s="1"/>
  <c r="DV17" i="5"/>
  <c r="CN26" i="9"/>
  <c r="CN85" i="9" s="1"/>
  <c r="BL86" i="9"/>
  <c r="DL12" i="6"/>
  <c r="DL52" i="5" s="1"/>
  <c r="V26" i="5"/>
  <c r="V35" i="7"/>
  <c r="DJ25" i="5"/>
  <c r="DI26" i="5"/>
  <c r="CB27" i="9" s="1"/>
  <c r="DI32" i="7" s="1"/>
  <c r="DI28" i="6"/>
  <c r="DI30" i="5" s="1"/>
  <c r="DI17" i="6"/>
  <c r="DI19" i="5" s="1"/>
  <c r="DH54" i="5"/>
  <c r="DH30" i="5"/>
  <c r="DI18" i="5"/>
  <c r="DH21" i="5"/>
  <c r="DO29" i="6"/>
  <c r="DK16" i="6"/>
  <c r="DK53" i="5" s="1"/>
  <c r="DI91" i="6"/>
  <c r="DI95" i="6" s="1"/>
  <c r="DH55" i="6"/>
  <c r="DI39" i="6"/>
  <c r="DI64" i="5" s="1"/>
  <c r="DJ47" i="6"/>
  <c r="CS31" i="6"/>
  <c r="DI41" i="6"/>
  <c r="DI66" i="5" s="1"/>
  <c r="DI105" i="6"/>
  <c r="DI107" i="6" s="1"/>
  <c r="DH53" i="6"/>
  <c r="DL40" i="6"/>
  <c r="DL65" i="5" s="1"/>
  <c r="DM15" i="6"/>
  <c r="DM56" i="5" s="1"/>
  <c r="V55" i="7"/>
  <c r="V53" i="5"/>
  <c r="Q30" i="9"/>
  <c r="CA30" i="9"/>
  <c r="V85" i="7"/>
  <c r="V59" i="7"/>
  <c r="V28" i="6"/>
  <c r="V39" i="6"/>
  <c r="CC26" i="9"/>
  <c r="CC85" i="9" s="1"/>
  <c r="V41" i="6"/>
  <c r="CA31" i="9"/>
  <c r="V12" i="6"/>
  <c r="BZ31" i="9"/>
  <c r="V19" i="5"/>
  <c r="BZ136" i="9"/>
  <c r="BZ106" i="9"/>
  <c r="V17" i="6"/>
  <c r="CA105" i="9"/>
  <c r="V40" i="6"/>
  <c r="V54" i="7"/>
  <c r="V56" i="5"/>
  <c r="U107" i="6"/>
  <c r="V52" i="6"/>
  <c r="U55" i="6"/>
  <c r="U95" i="6"/>
  <c r="M98" i="9"/>
  <c r="M120" i="9"/>
  <c r="M131" i="9"/>
  <c r="M119" i="9"/>
  <c r="BK132" i="9"/>
  <c r="BK25" i="10" s="1"/>
  <c r="BK13" i="10"/>
  <c r="BK74" i="9"/>
  <c r="BK14" i="10"/>
  <c r="BK17" i="10"/>
  <c r="BK11" i="10"/>
  <c r="BK8" i="10"/>
  <c r="M29" i="9"/>
  <c r="R39" i="7"/>
  <c r="M32" i="9"/>
  <c r="R41" i="7"/>
  <c r="BK18" i="10"/>
  <c r="BK92" i="9"/>
  <c r="M28" i="9"/>
  <c r="R38" i="7"/>
  <c r="R32" i="5"/>
  <c r="BK15" i="10"/>
  <c r="BK77" i="9"/>
  <c r="BK86" i="9"/>
  <c r="BK16" i="10"/>
  <c r="DM12" i="6" l="1"/>
  <c r="DM52" i="5" s="1"/>
  <c r="V30" i="5"/>
  <c r="CA87" i="9"/>
  <c r="CO26" i="9"/>
  <c r="CO85" i="9" s="1"/>
  <c r="DW17" i="5"/>
  <c r="CT41" i="7"/>
  <c r="CT39" i="7"/>
  <c r="CT38" i="7"/>
  <c r="CS52" i="7"/>
  <c r="BL122" i="9"/>
  <c r="BL97" i="9"/>
  <c r="CS39" i="7"/>
  <c r="CS41" i="7"/>
  <c r="CS38" i="7"/>
  <c r="CB87" i="9"/>
  <c r="DJ17" i="6"/>
  <c r="DJ19" i="5" s="1"/>
  <c r="DI54" i="5"/>
  <c r="DJ28" i="6"/>
  <c r="DK25" i="5"/>
  <c r="DJ26" i="5"/>
  <c r="CC27" i="9" s="1"/>
  <c r="DJ32" i="7" s="1"/>
  <c r="Q27" i="9"/>
  <c r="DJ18" i="5"/>
  <c r="DI21" i="5"/>
  <c r="DN15" i="6"/>
  <c r="DN56" i="5" s="1"/>
  <c r="DM40" i="6"/>
  <c r="DM65" i="5" s="1"/>
  <c r="DN12" i="6"/>
  <c r="DN52" i="5" s="1"/>
  <c r="DJ105" i="6"/>
  <c r="DJ107" i="6" s="1"/>
  <c r="DI53" i="6"/>
  <c r="DJ41" i="6"/>
  <c r="DJ66" i="5" s="1"/>
  <c r="DK47" i="6"/>
  <c r="DJ39" i="6"/>
  <c r="DJ64" i="5" s="1"/>
  <c r="DJ91" i="6"/>
  <c r="DJ95" i="6" s="1"/>
  <c r="DI55" i="6"/>
  <c r="DL16" i="6"/>
  <c r="DL53" i="5" s="1"/>
  <c r="DP29" i="6"/>
  <c r="DQ29" i="6" s="1"/>
  <c r="V40" i="7"/>
  <c r="V68" i="7"/>
  <c r="M16" i="10"/>
  <c r="CB30" i="9"/>
  <c r="CB105" i="9"/>
  <c r="CB135" i="9" s="1"/>
  <c r="Q31" i="9"/>
  <c r="V29" i="7"/>
  <c r="V21" i="5"/>
  <c r="V66" i="5"/>
  <c r="V77" i="7"/>
  <c r="V76" i="7"/>
  <c r="V65" i="5"/>
  <c r="CA106" i="9"/>
  <c r="V56" i="7"/>
  <c r="V54" i="5"/>
  <c r="Q105" i="9"/>
  <c r="CA135" i="9"/>
  <c r="CA136" i="9" s="1"/>
  <c r="V52" i="5"/>
  <c r="V53" i="7"/>
  <c r="CD26" i="9"/>
  <c r="CD85" i="9" s="1"/>
  <c r="W17" i="5"/>
  <c r="V64" i="5"/>
  <c r="V75" i="7"/>
  <c r="M15" i="10"/>
  <c r="M77" i="9"/>
  <c r="M86" i="9"/>
  <c r="M18" i="10"/>
  <c r="M92" i="9"/>
  <c r="M132" i="9"/>
  <c r="M13" i="10"/>
  <c r="M74" i="9"/>
  <c r="M17" i="10"/>
  <c r="M14" i="10"/>
  <c r="M11" i="10"/>
  <c r="M8" i="10"/>
  <c r="U53" i="6"/>
  <c r="CP26" i="9" l="1"/>
  <c r="CP85" i="9" s="1"/>
  <c r="DX17" i="5"/>
  <c r="BL120" i="9"/>
  <c r="BL119" i="9"/>
  <c r="BL131" i="9"/>
  <c r="BL98" i="9"/>
  <c r="DR29" i="6"/>
  <c r="CC87" i="9"/>
  <c r="Q87" i="9"/>
  <c r="DL25" i="5"/>
  <c r="DK26" i="5"/>
  <c r="CD27" i="9" s="1"/>
  <c r="DK32" i="7" s="1"/>
  <c r="DK28" i="6"/>
  <c r="DK30" i="5" s="1"/>
  <c r="DK17" i="6"/>
  <c r="DJ54" i="5"/>
  <c r="DK19" i="5"/>
  <c r="DJ30" i="5"/>
  <c r="DK18" i="5"/>
  <c r="DJ21" i="5"/>
  <c r="DK41" i="6"/>
  <c r="DK66" i="5" s="1"/>
  <c r="DK105" i="6"/>
  <c r="DK107" i="6" s="1"/>
  <c r="DJ53" i="6"/>
  <c r="DO12" i="6"/>
  <c r="DN40" i="6"/>
  <c r="DN65" i="5" s="1"/>
  <c r="DO15" i="6"/>
  <c r="DO56" i="5" s="1"/>
  <c r="X29" i="6"/>
  <c r="DM16" i="6"/>
  <c r="DM53" i="5" s="1"/>
  <c r="DK91" i="6"/>
  <c r="DK95" i="6" s="1"/>
  <c r="DJ55" i="6"/>
  <c r="DK39" i="6"/>
  <c r="DK64" i="5" s="1"/>
  <c r="DL47" i="6"/>
  <c r="M25" i="10"/>
  <c r="CB136" i="9"/>
  <c r="CC30" i="9"/>
  <c r="CB31" i="9"/>
  <c r="CB106" i="9"/>
  <c r="CC31" i="9"/>
  <c r="R26" i="9"/>
  <c r="W27" i="7"/>
  <c r="CE26" i="9"/>
  <c r="CE85" i="9" s="1"/>
  <c r="Q106" i="9"/>
  <c r="Q135" i="9"/>
  <c r="CC105" i="9"/>
  <c r="CQ26" i="9" l="1"/>
  <c r="CQ85" i="9" s="1"/>
  <c r="Z17" i="5"/>
  <c r="BL16" i="10"/>
  <c r="BL18" i="10"/>
  <c r="BL11" i="10"/>
  <c r="BL20" i="10"/>
  <c r="BL17" i="10"/>
  <c r="BL14" i="10"/>
  <c r="BL132" i="9"/>
  <c r="BL25" i="10" s="1"/>
  <c r="BL69" i="9"/>
  <c r="BL13" i="10"/>
  <c r="BL15" i="10"/>
  <c r="BL8" i="10"/>
  <c r="BL9" i="10"/>
  <c r="BL21" i="10"/>
  <c r="BL74" i="9"/>
  <c r="BL77" i="9"/>
  <c r="DS29" i="6"/>
  <c r="CD87" i="9"/>
  <c r="DP12" i="6"/>
  <c r="DO52" i="5"/>
  <c r="DL17" i="6"/>
  <c r="DK54" i="5"/>
  <c r="DL19" i="5"/>
  <c r="DL28" i="6"/>
  <c r="DL30" i="5" s="1"/>
  <c r="DM25" i="5"/>
  <c r="DL26" i="5"/>
  <c r="CE27" i="9" s="1"/>
  <c r="DL32" i="7" s="1"/>
  <c r="W25" i="5"/>
  <c r="DL18" i="5"/>
  <c r="DK21" i="5"/>
  <c r="X69" i="7"/>
  <c r="DM47" i="6"/>
  <c r="DL39" i="6"/>
  <c r="DL64" i="5" s="1"/>
  <c r="DL91" i="6"/>
  <c r="DL95" i="6" s="1"/>
  <c r="DK55" i="6"/>
  <c r="DN16" i="6"/>
  <c r="DN53" i="5" s="1"/>
  <c r="DP15" i="6"/>
  <c r="DQ15" i="6" s="1"/>
  <c r="DO40" i="6"/>
  <c r="DO65" i="5" s="1"/>
  <c r="DL105" i="6"/>
  <c r="DL107" i="6" s="1"/>
  <c r="DK53" i="6"/>
  <c r="DL41" i="6"/>
  <c r="DL66" i="5" s="1"/>
  <c r="Q136" i="9"/>
  <c r="W16" i="6"/>
  <c r="R85" i="9"/>
  <c r="CD30" i="9"/>
  <c r="CC106" i="9"/>
  <c r="CD31" i="9"/>
  <c r="W15" i="6"/>
  <c r="CD105" i="9"/>
  <c r="CD135" i="9" s="1"/>
  <c r="W47" i="6"/>
  <c r="CF26" i="9"/>
  <c r="CF85" i="9" s="1"/>
  <c r="CC135" i="9"/>
  <c r="CC136" i="9" s="1"/>
  <c r="Z27" i="7" l="1"/>
  <c r="U26" i="9"/>
  <c r="U85" i="9" s="1"/>
  <c r="BL10" i="10"/>
  <c r="BL12" i="10" s="1"/>
  <c r="DT29" i="6"/>
  <c r="DU29" i="6" s="1"/>
  <c r="DQ56" i="5"/>
  <c r="DR15" i="6"/>
  <c r="DQ40" i="6"/>
  <c r="DQ65" i="5" s="1"/>
  <c r="DQ12" i="6"/>
  <c r="CE87" i="9"/>
  <c r="W26" i="5"/>
  <c r="W35" i="7"/>
  <c r="DN25" i="5"/>
  <c r="DM26" i="5"/>
  <c r="CF27" i="9" s="1"/>
  <c r="DM32" i="7" s="1"/>
  <c r="DM28" i="6"/>
  <c r="DM17" i="6"/>
  <c r="DM19" i="5" s="1"/>
  <c r="DL54" i="5"/>
  <c r="DP52" i="5"/>
  <c r="DP40" i="6"/>
  <c r="DP65" i="5" s="1"/>
  <c r="DP56" i="5"/>
  <c r="DM18" i="5"/>
  <c r="DL21" i="5"/>
  <c r="DM41" i="6"/>
  <c r="DM66" i="5" s="1"/>
  <c r="DM105" i="6"/>
  <c r="DM107" i="6" s="1"/>
  <c r="DL53" i="6"/>
  <c r="DN47" i="6"/>
  <c r="DO16" i="6"/>
  <c r="DO53" i="5" s="1"/>
  <c r="DM91" i="6"/>
  <c r="DM95" i="6" s="1"/>
  <c r="DL55" i="6"/>
  <c r="DM39" i="6"/>
  <c r="DM64" i="5" s="1"/>
  <c r="W55" i="7"/>
  <c r="W53" i="5"/>
  <c r="W30" i="5"/>
  <c r="CD136" i="9"/>
  <c r="CE30" i="9"/>
  <c r="W18" i="5"/>
  <c r="W59" i="7"/>
  <c r="W85" i="7"/>
  <c r="W41" i="6"/>
  <c r="W17" i="6"/>
  <c r="CE105" i="9"/>
  <c r="CE135" i="9" s="1"/>
  <c r="CE136" i="9" s="1"/>
  <c r="W40" i="6"/>
  <c r="W54" i="7"/>
  <c r="W56" i="5"/>
  <c r="W39" i="6"/>
  <c r="CG26" i="9"/>
  <c r="CG85" i="9" s="1"/>
  <c r="CD106" i="9"/>
  <c r="W28" i="6"/>
  <c r="W12" i="6"/>
  <c r="V105" i="6"/>
  <c r="W52" i="6"/>
  <c r="V91" i="6"/>
  <c r="BL19" i="10" l="1"/>
  <c r="DV29" i="6"/>
  <c r="CF87" i="9"/>
  <c r="DR40" i="6"/>
  <c r="DR65" i="5" s="1"/>
  <c r="DR56" i="5"/>
  <c r="DS15" i="6"/>
  <c r="Y29" i="6"/>
  <c r="DQ52" i="5"/>
  <c r="DR12" i="6"/>
  <c r="DN28" i="6"/>
  <c r="DN30" i="5" s="1"/>
  <c r="DO25" i="5"/>
  <c r="DN26" i="5"/>
  <c r="CG27" i="9" s="1"/>
  <c r="DN32" i="7" s="1"/>
  <c r="R27" i="9"/>
  <c r="DN17" i="6"/>
  <c r="DN19" i="5" s="1"/>
  <c r="DM54" i="5"/>
  <c r="DM30" i="5"/>
  <c r="DN18" i="5"/>
  <c r="DM21" i="5"/>
  <c r="DN39" i="6"/>
  <c r="DN64" i="5" s="1"/>
  <c r="DN91" i="6"/>
  <c r="DN95" i="6" s="1"/>
  <c r="DM55" i="6"/>
  <c r="DP16" i="6"/>
  <c r="DQ16" i="6" s="1"/>
  <c r="DO47" i="6"/>
  <c r="DN105" i="6"/>
  <c r="DN107" i="6" s="1"/>
  <c r="DM53" i="6"/>
  <c r="DN41" i="6"/>
  <c r="DN66" i="5" s="1"/>
  <c r="W68" i="7"/>
  <c r="W40" i="7"/>
  <c r="W28" i="7"/>
  <c r="R30" i="9"/>
  <c r="CF30" i="9"/>
  <c r="CE31" i="9"/>
  <c r="W19" i="5"/>
  <c r="CF105" i="9"/>
  <c r="W53" i="7"/>
  <c r="W52" i="5"/>
  <c r="CH26" i="9"/>
  <c r="CH85" i="9" s="1"/>
  <c r="X17" i="5"/>
  <c r="W75" i="7"/>
  <c r="W64" i="5"/>
  <c r="W76" i="7"/>
  <c r="W65" i="5"/>
  <c r="CE106" i="9"/>
  <c r="W56" i="7"/>
  <c r="W54" i="5"/>
  <c r="R105" i="9"/>
  <c r="W77" i="7"/>
  <c r="W66" i="5"/>
  <c r="V55" i="6"/>
  <c r="V95" i="6"/>
  <c r="V107" i="6"/>
  <c r="BL22" i="10" l="1"/>
  <c r="Y27" i="7"/>
  <c r="DW29" i="6"/>
  <c r="CG87" i="9"/>
  <c r="DQ53" i="5"/>
  <c r="DR16" i="6"/>
  <c r="DR52" i="5"/>
  <c r="DS12" i="6"/>
  <c r="Y69" i="7"/>
  <c r="DS56" i="5"/>
  <c r="DS40" i="6"/>
  <c r="DS65" i="5" s="1"/>
  <c r="DT15" i="6"/>
  <c r="DU15" i="6" s="1"/>
  <c r="R87" i="9"/>
  <c r="DP53" i="5"/>
  <c r="DO17" i="6"/>
  <c r="DO19" i="5" s="1"/>
  <c r="DN54" i="5"/>
  <c r="DP25" i="5"/>
  <c r="DQ25" i="5" s="1"/>
  <c r="DO26" i="5"/>
  <c r="CH27" i="9" s="1"/>
  <c r="DO32" i="7" s="1"/>
  <c r="DO28" i="6"/>
  <c r="DO30" i="5" s="1"/>
  <c r="DO18" i="5"/>
  <c r="DN21" i="5"/>
  <c r="DP47" i="6"/>
  <c r="DO41" i="6"/>
  <c r="DO66" i="5" s="1"/>
  <c r="DO105" i="6"/>
  <c r="DO107" i="6" s="1"/>
  <c r="DN53" i="6"/>
  <c r="DO91" i="6"/>
  <c r="DO95" i="6" s="1"/>
  <c r="DN55" i="6"/>
  <c r="DO39" i="6"/>
  <c r="CG30" i="9"/>
  <c r="R106" i="9"/>
  <c r="R135" i="9"/>
  <c r="X27" i="7"/>
  <c r="S26" i="9"/>
  <c r="CI26" i="9"/>
  <c r="CF106" i="9"/>
  <c r="CG31" i="9"/>
  <c r="CF31" i="9"/>
  <c r="CF135" i="9"/>
  <c r="CF136" i="9" s="1"/>
  <c r="CG105" i="9"/>
  <c r="R31" i="9"/>
  <c r="W29" i="7"/>
  <c r="W21" i="5"/>
  <c r="V53" i="6"/>
  <c r="DV15" i="6" l="1"/>
  <c r="DU40" i="6"/>
  <c r="DU65" i="5" s="1"/>
  <c r="DU56" i="5"/>
  <c r="DX29" i="6"/>
  <c r="DR53" i="5"/>
  <c r="DS16" i="6"/>
  <c r="DQ47" i="6"/>
  <c r="Y15" i="6"/>
  <c r="DT56" i="5"/>
  <c r="DT40" i="6"/>
  <c r="DS52" i="5"/>
  <c r="DT12" i="6"/>
  <c r="S85" i="9"/>
  <c r="T85" i="9"/>
  <c r="CI85" i="9"/>
  <c r="CJ85" i="9"/>
  <c r="DR25" i="5"/>
  <c r="DQ26" i="5"/>
  <c r="DO64" i="5"/>
  <c r="CH87" i="9"/>
  <c r="DP28" i="6"/>
  <c r="X28" i="6" s="1"/>
  <c r="DP26" i="5"/>
  <c r="CI27" i="9" s="1"/>
  <c r="X25" i="5"/>
  <c r="DP17" i="6"/>
  <c r="DP19" i="5" s="1"/>
  <c r="DO54" i="5"/>
  <c r="DP18" i="5"/>
  <c r="DQ18" i="5" s="1"/>
  <c r="DO21" i="5"/>
  <c r="DP39" i="6"/>
  <c r="DP91" i="6"/>
  <c r="DP95" i="6" s="1"/>
  <c r="DO55" i="6"/>
  <c r="DP105" i="6"/>
  <c r="DP107" i="6" s="1"/>
  <c r="DO53" i="6"/>
  <c r="DP41" i="6"/>
  <c r="R136" i="9"/>
  <c r="X16" i="6"/>
  <c r="CH30" i="9"/>
  <c r="CG106" i="9"/>
  <c r="CH31" i="9"/>
  <c r="X15" i="6"/>
  <c r="CG135" i="9"/>
  <c r="CG136" i="9" s="1"/>
  <c r="CH105" i="9"/>
  <c r="CH135" i="9" s="1"/>
  <c r="X47" i="6"/>
  <c r="DU12" i="6" l="1"/>
  <c r="X68" i="7"/>
  <c r="Z29" i="6"/>
  <c r="DV56" i="5"/>
  <c r="DW15" i="6"/>
  <c r="DV40" i="6"/>
  <c r="DV65" i="5" s="1"/>
  <c r="DP55" i="6"/>
  <c r="DQ91" i="6"/>
  <c r="DQ95" i="6" s="1"/>
  <c r="DP53" i="6"/>
  <c r="DQ105" i="6"/>
  <c r="DQ107" i="6" s="1"/>
  <c r="DP30" i="5"/>
  <c r="X30" i="5" s="1"/>
  <c r="DQ28" i="6"/>
  <c r="DQ30" i="5" s="1"/>
  <c r="DQ17" i="6"/>
  <c r="DT52" i="5"/>
  <c r="Y12" i="6"/>
  <c r="DR47" i="6"/>
  <c r="DP66" i="5"/>
  <c r="DQ41" i="6"/>
  <c r="DQ39" i="6"/>
  <c r="CJ30" i="9"/>
  <c r="DR18" i="5"/>
  <c r="DT65" i="5"/>
  <c r="Y40" i="6"/>
  <c r="Y54" i="7"/>
  <c r="Y56" i="5"/>
  <c r="DS53" i="5"/>
  <c r="DT16" i="6"/>
  <c r="DU16" i="6" s="1"/>
  <c r="CJ27" i="9"/>
  <c r="DR26" i="5"/>
  <c r="DS25" i="5"/>
  <c r="DP64" i="5"/>
  <c r="DP21" i="5"/>
  <c r="X26" i="5"/>
  <c r="X35" i="7"/>
  <c r="DP54" i="5"/>
  <c r="DP32" i="7"/>
  <c r="CI87" i="9"/>
  <c r="CI30" i="9"/>
  <c r="X55" i="7"/>
  <c r="X53" i="5"/>
  <c r="X18" i="5"/>
  <c r="CH136" i="9"/>
  <c r="X85" i="7"/>
  <c r="X59" i="7"/>
  <c r="X12" i="6"/>
  <c r="X17" i="6"/>
  <c r="CI105" i="9"/>
  <c r="X54" i="7"/>
  <c r="X56" i="5"/>
  <c r="CH106" i="9"/>
  <c r="X39" i="6"/>
  <c r="X41" i="6"/>
  <c r="X40" i="6"/>
  <c r="X52" i="6"/>
  <c r="DU52" i="5" l="1"/>
  <c r="DV12" i="6"/>
  <c r="X40" i="7"/>
  <c r="Z69" i="7"/>
  <c r="X28" i="7"/>
  <c r="S27" i="9"/>
  <c r="DV16" i="6"/>
  <c r="DU53" i="5"/>
  <c r="DW40" i="6"/>
  <c r="DW65" i="5" s="1"/>
  <c r="DX15" i="6"/>
  <c r="Z15" i="6" s="1"/>
  <c r="Z54" i="7" s="1"/>
  <c r="DW56" i="5"/>
  <c r="DQ53" i="6"/>
  <c r="DR105" i="6"/>
  <c r="DR107" i="6" s="1"/>
  <c r="DQ55" i="6"/>
  <c r="DR91" i="6"/>
  <c r="DR95" i="6" s="1"/>
  <c r="DR28" i="6"/>
  <c r="DR30" i="5" s="1"/>
  <c r="Y65" i="5"/>
  <c r="Y76" i="7"/>
  <c r="CK30" i="9"/>
  <c r="DS18" i="5"/>
  <c r="DQ66" i="5"/>
  <c r="DR41" i="6"/>
  <c r="DR17" i="6"/>
  <c r="DR19" i="5" s="1"/>
  <c r="CK31" i="9" s="1"/>
  <c r="DQ54" i="5"/>
  <c r="CJ105" i="9"/>
  <c r="CJ135" i="9" s="1"/>
  <c r="CI106" i="9"/>
  <c r="DT53" i="5"/>
  <c r="Y16" i="6"/>
  <c r="DQ64" i="5"/>
  <c r="DR39" i="6"/>
  <c r="DS47" i="6"/>
  <c r="Y53" i="7"/>
  <c r="Y52" i="5"/>
  <c r="DQ19" i="5"/>
  <c r="DT25" i="5"/>
  <c r="DS26" i="5"/>
  <c r="CK27" i="9"/>
  <c r="CJ87" i="9"/>
  <c r="DQ32" i="7"/>
  <c r="CI135" i="9"/>
  <c r="CI136" i="9" s="1"/>
  <c r="S30" i="9"/>
  <c r="X76" i="7"/>
  <c r="X65" i="5"/>
  <c r="X66" i="5"/>
  <c r="X77" i="7"/>
  <c r="X64" i="5"/>
  <c r="X75" i="7"/>
  <c r="CI31" i="9"/>
  <c r="X19" i="5"/>
  <c r="X56" i="7"/>
  <c r="X54" i="5"/>
  <c r="S105" i="9"/>
  <c r="X53" i="7"/>
  <c r="X52" i="5"/>
  <c r="W91" i="6"/>
  <c r="W105" i="6"/>
  <c r="DV52" i="5" l="1"/>
  <c r="DW12" i="6"/>
  <c r="S87" i="9"/>
  <c r="Z56" i="5"/>
  <c r="DX40" i="6"/>
  <c r="DX56" i="5"/>
  <c r="DW16" i="6"/>
  <c r="DV53" i="5"/>
  <c r="DT26" i="5"/>
  <c r="CM27" i="9" s="1"/>
  <c r="DU25" i="5"/>
  <c r="Y25" i="5"/>
  <c r="Y35" i="7" s="1"/>
  <c r="DS91" i="6"/>
  <c r="DS95" i="6" s="1"/>
  <c r="DR55" i="6"/>
  <c r="DR53" i="6"/>
  <c r="DS105" i="6"/>
  <c r="DS107" i="6" s="1"/>
  <c r="DS28" i="6"/>
  <c r="DS30" i="5" s="1"/>
  <c r="DT47" i="6"/>
  <c r="CJ136" i="9"/>
  <c r="DR66" i="5"/>
  <c r="DS41" i="6"/>
  <c r="CL30" i="9"/>
  <c r="DT18" i="5"/>
  <c r="DU18" i="5" s="1"/>
  <c r="CN30" i="9" s="1"/>
  <c r="CJ31" i="9"/>
  <c r="DQ21" i="5"/>
  <c r="DR64" i="5"/>
  <c r="DS39" i="6"/>
  <c r="Y53" i="5"/>
  <c r="Y55" i="7"/>
  <c r="CJ106" i="9"/>
  <c r="DR54" i="5"/>
  <c r="DS17" i="6"/>
  <c r="CK105" i="9"/>
  <c r="CK135" i="9" s="1"/>
  <c r="CK136" i="9" s="1"/>
  <c r="DR21" i="5"/>
  <c r="CK87" i="9"/>
  <c r="DR32" i="7"/>
  <c r="CL27" i="9"/>
  <c r="S106" i="9"/>
  <c r="S135" i="9"/>
  <c r="S31" i="9"/>
  <c r="X29" i="7"/>
  <c r="X21" i="5"/>
  <c r="W107" i="6"/>
  <c r="W55" i="6"/>
  <c r="W95" i="6"/>
  <c r="DW52" i="5" l="1"/>
  <c r="DX12" i="6"/>
  <c r="Z12" i="6" s="1"/>
  <c r="Z53" i="7" s="1"/>
  <c r="DX65" i="5"/>
  <c r="Z40" i="6"/>
  <c r="DX16" i="6"/>
  <c r="DW53" i="5"/>
  <c r="DU47" i="6"/>
  <c r="DV18" i="5"/>
  <c r="CO30" i="9" s="1"/>
  <c r="DV25" i="5"/>
  <c r="DU26" i="5"/>
  <c r="CN27" i="9" s="1"/>
  <c r="S136" i="9"/>
  <c r="Y26" i="5"/>
  <c r="T27" i="9" s="1"/>
  <c r="DT91" i="6"/>
  <c r="DS55" i="6"/>
  <c r="DT105" i="6"/>
  <c r="DS53" i="6"/>
  <c r="DT28" i="6"/>
  <c r="DS54" i="5"/>
  <c r="DT17" i="6"/>
  <c r="CL105" i="9"/>
  <c r="CL135" i="9" s="1"/>
  <c r="CL136" i="9" s="1"/>
  <c r="DS64" i="5"/>
  <c r="DT39" i="6"/>
  <c r="CK106" i="9"/>
  <c r="DS19" i="5"/>
  <c r="CM30" i="9"/>
  <c r="Y18" i="5"/>
  <c r="DS66" i="5"/>
  <c r="DT41" i="6"/>
  <c r="Y47" i="6"/>
  <c r="CL87" i="9"/>
  <c r="DS32" i="7"/>
  <c r="CM87" i="9"/>
  <c r="DT32" i="7"/>
  <c r="W53" i="6"/>
  <c r="DX52" i="5" l="1"/>
  <c r="Z52" i="5"/>
  <c r="DU39" i="6"/>
  <c r="Z65" i="5"/>
  <c r="Z76" i="7"/>
  <c r="Z16" i="6"/>
  <c r="Z53" i="5" s="1"/>
  <c r="DU32" i="7"/>
  <c r="CN87" i="9"/>
  <c r="Y28" i="6"/>
  <c r="Y68" i="7" s="1"/>
  <c r="DU28" i="6"/>
  <c r="DU41" i="6"/>
  <c r="DU17" i="6"/>
  <c r="DV47" i="6"/>
  <c r="DX53" i="5"/>
  <c r="DW25" i="5"/>
  <c r="DV26" i="5"/>
  <c r="CO27" i="9" s="1"/>
  <c r="DW18" i="5"/>
  <c r="CP30" i="9" s="1"/>
  <c r="T87" i="9"/>
  <c r="DT107" i="6"/>
  <c r="DU105" i="6" s="1"/>
  <c r="DU107" i="6" s="1"/>
  <c r="Y105" i="6"/>
  <c r="DT95" i="6"/>
  <c r="DU91" i="6" s="1"/>
  <c r="DU95" i="6" s="1"/>
  <c r="Y91" i="6"/>
  <c r="DT30" i="5"/>
  <c r="Y30" i="5" s="1"/>
  <c r="T30" i="9"/>
  <c r="Y28" i="7"/>
  <c r="CL31" i="9"/>
  <c r="DS21" i="5"/>
  <c r="DT64" i="5"/>
  <c r="Y39" i="6"/>
  <c r="DT54" i="5"/>
  <c r="Y17" i="6"/>
  <c r="CM105" i="9"/>
  <c r="Y85" i="7"/>
  <c r="Y59" i="7"/>
  <c r="DT66" i="5"/>
  <c r="Y41" i="6"/>
  <c r="CL106" i="9"/>
  <c r="DT19" i="5"/>
  <c r="Y19" i="5" s="1"/>
  <c r="X105" i="6"/>
  <c r="X91" i="6"/>
  <c r="DU64" i="5" l="1"/>
  <c r="Y40" i="7"/>
  <c r="DU55" i="6"/>
  <c r="DV91" i="6"/>
  <c r="DV95" i="6" s="1"/>
  <c r="DU53" i="6"/>
  <c r="DV105" i="6"/>
  <c r="DV107" i="6" s="1"/>
  <c r="DV39" i="6"/>
  <c r="DU19" i="5"/>
  <c r="CN31" i="9" s="1"/>
  <c r="CN105" i="9"/>
  <c r="CN135" i="9" s="1"/>
  <c r="Z55" i="7"/>
  <c r="DV32" i="7"/>
  <c r="CO87" i="9"/>
  <c r="CM106" i="9"/>
  <c r="DW47" i="6"/>
  <c r="DV28" i="6"/>
  <c r="DV30" i="5" s="1"/>
  <c r="DV17" i="6"/>
  <c r="DV19" i="5" s="1"/>
  <c r="DU54" i="5"/>
  <c r="DU66" i="5"/>
  <c r="DV41" i="6"/>
  <c r="DU30" i="5"/>
  <c r="DX18" i="5"/>
  <c r="DX25" i="5"/>
  <c r="DX26" i="5" s="1"/>
  <c r="CQ27" i="9" s="1"/>
  <c r="DW26" i="5"/>
  <c r="CP27" i="9" s="1"/>
  <c r="CM135" i="9"/>
  <c r="CM136" i="9" s="1"/>
  <c r="DT55" i="6"/>
  <c r="Y55" i="6" s="1"/>
  <c r="Y95" i="6"/>
  <c r="DT53" i="6"/>
  <c r="Y53" i="6" s="1"/>
  <c r="Y107" i="6"/>
  <c r="Y29" i="7"/>
  <c r="T31" i="9"/>
  <c r="Y21" i="5"/>
  <c r="Y56" i="7"/>
  <c r="Y54" i="5"/>
  <c r="T105" i="9"/>
  <c r="Y75" i="7"/>
  <c r="Y64" i="5"/>
  <c r="Y77" i="7"/>
  <c r="Y66" i="5"/>
  <c r="CM31" i="9"/>
  <c r="DT21" i="5"/>
  <c r="X55" i="6"/>
  <c r="X95" i="6"/>
  <c r="X107" i="6"/>
  <c r="DW39" i="6" l="1"/>
  <c r="DX39" i="6" s="1"/>
  <c r="DU21" i="5"/>
  <c r="DV53" i="6"/>
  <c r="DW105" i="6"/>
  <c r="DW107" i="6" s="1"/>
  <c r="DW91" i="6"/>
  <c r="DW95" i="6" s="1"/>
  <c r="DV55" i="6"/>
  <c r="DV64" i="5"/>
  <c r="CN106" i="9"/>
  <c r="DV21" i="5"/>
  <c r="CO31" i="9"/>
  <c r="CO105" i="9"/>
  <c r="CO135" i="9" s="1"/>
  <c r="CO136" i="9" s="1"/>
  <c r="DX32" i="7"/>
  <c r="CQ87" i="9"/>
  <c r="DW32" i="7"/>
  <c r="CP87" i="9"/>
  <c r="Z18" i="5"/>
  <c r="CQ30" i="9"/>
  <c r="CN136" i="9"/>
  <c r="Z25" i="5"/>
  <c r="DW41" i="6"/>
  <c r="DV66" i="5"/>
  <c r="DW17" i="6"/>
  <c r="DV54" i="5"/>
  <c r="DW28" i="6"/>
  <c r="DW30" i="5" s="1"/>
  <c r="DX47" i="6"/>
  <c r="T135" i="9"/>
  <c r="T106" i="9"/>
  <c r="X53" i="6"/>
  <c r="DW64" i="5" l="1"/>
  <c r="DX105" i="6"/>
  <c r="DW53" i="6"/>
  <c r="DX91" i="6"/>
  <c r="DW55" i="6"/>
  <c r="CP105" i="9"/>
  <c r="CP135" i="9" s="1"/>
  <c r="CP136" i="9" s="1"/>
  <c r="CO106" i="9"/>
  <c r="U30" i="9"/>
  <c r="Z28" i="7"/>
  <c r="Z26" i="5"/>
  <c r="U27" i="9" s="1"/>
  <c r="Z35" i="7"/>
  <c r="Z47" i="6"/>
  <c r="DX64" i="5"/>
  <c r="Z39" i="6"/>
  <c r="DX17" i="6"/>
  <c r="DW54" i="5"/>
  <c r="DX28" i="6"/>
  <c r="DW19" i="5"/>
  <c r="CP31" i="9" s="1"/>
  <c r="DX41" i="6"/>
  <c r="DW66" i="5"/>
  <c r="T136" i="9"/>
  <c r="CO109" i="6"/>
  <c r="CO98" i="6" s="1"/>
  <c r="DX95" i="6" l="1"/>
  <c r="Z91" i="6"/>
  <c r="DX107" i="6"/>
  <c r="Z105" i="6"/>
  <c r="Z64" i="5"/>
  <c r="Z75" i="7"/>
  <c r="Z85" i="7"/>
  <c r="Z59" i="7"/>
  <c r="Z17" i="6"/>
  <c r="Z54" i="5" s="1"/>
  <c r="CQ105" i="9"/>
  <c r="CQ106" i="9" s="1"/>
  <c r="CP106" i="9"/>
  <c r="U87" i="9"/>
  <c r="DX66" i="5"/>
  <c r="Z41" i="6"/>
  <c r="DX30" i="5"/>
  <c r="Z30" i="5" s="1"/>
  <c r="Z28" i="6"/>
  <c r="Z68" i="7" s="1"/>
  <c r="DX19" i="5"/>
  <c r="DX54" i="5"/>
  <c r="DW21" i="5"/>
  <c r="CO99" i="6"/>
  <c r="CO103" i="6"/>
  <c r="DX53" i="6" l="1"/>
  <c r="Z53" i="6" s="1"/>
  <c r="Z107" i="6"/>
  <c r="DX55" i="6"/>
  <c r="Z55" i="6" s="1"/>
  <c r="Z95" i="6"/>
  <c r="Z66" i="5"/>
  <c r="Z77" i="7"/>
  <c r="Z40" i="7"/>
  <c r="CQ135" i="9"/>
  <c r="CQ136" i="9" s="1"/>
  <c r="DX21" i="5"/>
  <c r="CQ31" i="9"/>
  <c r="Z56" i="7"/>
  <c r="U105" i="9"/>
  <c r="Z19" i="5"/>
  <c r="BJ36" i="9"/>
  <c r="CP63" i="5"/>
  <c r="CP67" i="5" s="1"/>
  <c r="BI115" i="9" s="1"/>
  <c r="CO104" i="6"/>
  <c r="Z21" i="5" l="1"/>
  <c r="Z29" i="7"/>
  <c r="U31" i="9"/>
  <c r="U135" i="9"/>
  <c r="U136" i="9" s="1"/>
  <c r="U106" i="9"/>
  <c r="BI129" i="9"/>
  <c r="BI116" i="9"/>
  <c r="CP68" i="5"/>
  <c r="CP69" i="5" l="1"/>
  <c r="CP22" i="7"/>
  <c r="BI72" i="9"/>
  <c r="BI73" i="9" s="1"/>
  <c r="BI130" i="9"/>
  <c r="CM48" i="7" l="1"/>
  <c r="CM85" i="6"/>
  <c r="CM87" i="6" s="1"/>
  <c r="CM46" i="5"/>
  <c r="CN48" i="7"/>
  <c r="CN85" i="6"/>
  <c r="Q43" i="5"/>
  <c r="CN46" i="5"/>
  <c r="BG62" i="9" l="1"/>
  <c r="Q85" i="6"/>
  <c r="BF62" i="9"/>
  <c r="Q46" i="5"/>
  <c r="Q48" i="7"/>
  <c r="CN87" i="6"/>
  <c r="BH63" i="9" l="1"/>
  <c r="BG63" i="9"/>
  <c r="BF63" i="9"/>
  <c r="L62" i="9"/>
  <c r="Q87" i="6"/>
  <c r="L63" i="9" l="1"/>
  <c r="CP109" i="6"/>
  <c r="CP98" i="6" s="1"/>
  <c r="BJ18" i="9"/>
  <c r="BJ9" i="10" s="1"/>
  <c r="BJ40" i="9"/>
  <c r="BJ21" i="10" s="1"/>
  <c r="BJ45" i="9"/>
  <c r="BJ20" i="10" s="1"/>
  <c r="BJ63" i="9"/>
  <c r="BJ65" i="9"/>
  <c r="BJ10" i="10" l="1"/>
  <c r="BJ12" i="10" s="1"/>
  <c r="BJ20" i="9"/>
  <c r="BJ83" i="9" s="1"/>
  <c r="BJ111" i="9"/>
  <c r="BJ54" i="9"/>
  <c r="BJ56" i="9"/>
  <c r="BJ58" i="9" s="1"/>
  <c r="BJ64" i="9"/>
  <c r="CP99" i="6"/>
  <c r="CP103" i="6"/>
  <c r="BJ19" i="10" l="1"/>
  <c r="BJ78" i="9"/>
  <c r="BJ60" i="9"/>
  <c r="BJ112" i="9"/>
  <c r="BJ76" i="9"/>
  <c r="BJ91" i="9"/>
  <c r="BJ93" i="9" s="1"/>
  <c r="BJ94" i="9" s="1"/>
  <c r="BJ24" i="9"/>
  <c r="BJ34" i="9" s="1"/>
  <c r="BJ38" i="9" s="1"/>
  <c r="BJ70" i="9"/>
  <c r="BK36" i="9"/>
  <c r="BJ137" i="9"/>
  <c r="BJ23" i="10" s="1"/>
  <c r="BJ123" i="9"/>
  <c r="BJ147" i="9"/>
  <c r="R34" i="5"/>
  <c r="R44" i="7" s="1"/>
  <c r="CP104" i="6"/>
  <c r="CQ63" i="5"/>
  <c r="CQ67" i="5" s="1"/>
  <c r="R83" i="6"/>
  <c r="R50" i="6"/>
  <c r="BJ55" i="9"/>
  <c r="BJ57" i="9"/>
  <c r="BJ22" i="10" l="1"/>
  <c r="BJ24" i="10" s="1"/>
  <c r="BJ61" i="9"/>
  <c r="BJ75" i="9"/>
  <c r="BJ138" i="9"/>
  <c r="BJ43" i="9"/>
  <c r="BJ47" i="9" s="1"/>
  <c r="BJ80" i="9"/>
  <c r="M36" i="9"/>
  <c r="R86" i="7"/>
  <c r="BJ59" i="9"/>
  <c r="BJ107" i="9"/>
  <c r="CQ68" i="5"/>
  <c r="BJ115" i="9"/>
  <c r="CQ69" i="5" l="1"/>
  <c r="CQ22" i="7"/>
  <c r="BJ69" i="9"/>
  <c r="BJ88" i="9"/>
  <c r="BJ51" i="9"/>
  <c r="BJ68" i="9"/>
  <c r="BJ109" i="9"/>
  <c r="BJ110" i="9" s="1"/>
  <c r="BJ116" i="9"/>
  <c r="BJ129" i="9"/>
  <c r="BJ108" i="9"/>
  <c r="BJ121" i="9"/>
  <c r="BJ72" i="9" l="1"/>
  <c r="BJ73" i="9" s="1"/>
  <c r="BJ130" i="9"/>
  <c r="Q10" i="9" l="1"/>
  <c r="S10" i="9"/>
  <c r="R10" i="9"/>
  <c r="BX10" i="9"/>
  <c r="BY10" i="9"/>
  <c r="BZ10" i="9"/>
  <c r="CA10" i="9"/>
  <c r="CB10" i="9"/>
  <c r="CC10" i="9"/>
  <c r="CD10" i="9"/>
  <c r="CE10" i="9"/>
  <c r="CF10" i="9"/>
  <c r="CG10" i="9"/>
  <c r="CH10" i="9"/>
  <c r="CI10" i="9"/>
  <c r="R12" i="5" l="1"/>
  <c r="CR15" i="5"/>
  <c r="CR33" i="5" s="1"/>
  <c r="BK18" i="9"/>
  <c r="BK9" i="10" s="1"/>
  <c r="BK10" i="10" l="1"/>
  <c r="BK12" i="10" s="1"/>
  <c r="BK20" i="9"/>
  <c r="BL83" i="9" s="1"/>
  <c r="M18" i="9"/>
  <c r="R13" i="5"/>
  <c r="CR37" i="5"/>
  <c r="CR45" i="7"/>
  <c r="CR46" i="7" s="1"/>
  <c r="R38" i="5"/>
  <c r="BK40" i="9"/>
  <c r="R36" i="5"/>
  <c r="BK78" i="9" l="1"/>
  <c r="BK19" i="10"/>
  <c r="BK70" i="9"/>
  <c r="BK91" i="9"/>
  <c r="BK93" i="9" s="1"/>
  <c r="BK94" i="9" s="1"/>
  <c r="BK76" i="9"/>
  <c r="BK83" i="9"/>
  <c r="BK24" i="9"/>
  <c r="BK34" i="9" s="1"/>
  <c r="BK38" i="9" s="1"/>
  <c r="BK80" i="9" s="1"/>
  <c r="R15" i="5"/>
  <c r="R33" i="5" s="1"/>
  <c r="M9" i="10"/>
  <c r="M10" i="10" s="1"/>
  <c r="M12" i="10" s="1"/>
  <c r="M19" i="10" s="1"/>
  <c r="M20" i="9"/>
  <c r="CR47" i="7"/>
  <c r="CR39" i="5"/>
  <c r="BK45" i="9"/>
  <c r="BK20" i="10" s="1"/>
  <c r="BK21" i="10"/>
  <c r="M40" i="9"/>
  <c r="M45" i="9"/>
  <c r="BK43" i="9" l="1"/>
  <c r="BK47" i="9" s="1"/>
  <c r="BK88" i="9" s="1"/>
  <c r="BK75" i="9"/>
  <c r="BL94" i="9"/>
  <c r="M20" i="10"/>
  <c r="M70" i="9"/>
  <c r="M24" i="9"/>
  <c r="M76" i="9"/>
  <c r="M83" i="9"/>
  <c r="M78" i="9"/>
  <c r="M91" i="9"/>
  <c r="R37" i="5"/>
  <c r="R45" i="7"/>
  <c r="R47" i="7" s="1"/>
  <c r="CR48" i="7"/>
  <c r="CR45" i="5"/>
  <c r="CR84" i="6"/>
  <c r="CR87" i="6" s="1"/>
  <c r="R87" i="6" s="1"/>
  <c r="CR40" i="5"/>
  <c r="BK22" i="10"/>
  <c r="M21" i="10"/>
  <c r="BK69" i="9" l="1"/>
  <c r="BL88" i="9"/>
  <c r="R39" i="5"/>
  <c r="M22" i="10"/>
  <c r="R46" i="7"/>
  <c r="M93" i="9"/>
  <c r="M75" i="9" s="1"/>
  <c r="M34" i="9"/>
  <c r="BK49" i="9"/>
  <c r="BK51" i="9" s="1"/>
  <c r="R40" i="5"/>
  <c r="R41" i="5" s="1"/>
  <c r="R84" i="6"/>
  <c r="M94" i="9" l="1"/>
  <c r="M38" i="9"/>
  <c r="M49" i="9"/>
  <c r="R43" i="5"/>
  <c r="M43" i="9" l="1"/>
  <c r="M80" i="9"/>
  <c r="R85" i="6"/>
  <c r="R48" i="7"/>
  <c r="M47" i="9" l="1"/>
  <c r="R88" i="6"/>
  <c r="M88" i="9" l="1"/>
  <c r="M69" i="9"/>
  <c r="M51" i="9"/>
  <c r="R57" i="6"/>
  <c r="CR63" i="5" l="1"/>
  <c r="CR67" i="5" s="1"/>
  <c r="CR68" i="5" s="1"/>
  <c r="R58" i="6"/>
  <c r="BK111" i="9"/>
  <c r="CR69" i="5" l="1"/>
  <c r="CR22" i="7"/>
  <c r="BK112" i="9"/>
  <c r="BK137" i="9"/>
  <c r="BK123" i="9"/>
  <c r="BK147" i="9"/>
  <c r="M111" i="9"/>
  <c r="R36" i="6"/>
  <c r="R37" i="6" l="1"/>
  <c r="R74" i="7"/>
  <c r="R63" i="5"/>
  <c r="R67" i="5" s="1"/>
  <c r="M123" i="9"/>
  <c r="M112" i="9"/>
  <c r="M147" i="9"/>
  <c r="M137" i="9"/>
  <c r="BK115" i="9"/>
  <c r="BK107" i="9"/>
  <c r="BK138" i="9"/>
  <c r="BK68" i="9"/>
  <c r="BK23" i="10"/>
  <c r="BK24" i="10" l="1"/>
  <c r="BK108" i="9"/>
  <c r="BK121" i="9"/>
  <c r="M138" i="9"/>
  <c r="M23" i="10"/>
  <c r="M24" i="10" s="1"/>
  <c r="M68" i="9"/>
  <c r="R48" i="6"/>
  <c r="M107" i="9"/>
  <c r="R72" i="7"/>
  <c r="BK109" i="9"/>
  <c r="BK129" i="9"/>
  <c r="BK116" i="9"/>
  <c r="M115" i="9"/>
  <c r="R68" i="5"/>
  <c r="BK110" i="9" l="1"/>
  <c r="R60" i="6"/>
  <c r="R62" i="6" s="1"/>
  <c r="M109" i="9"/>
  <c r="M116" i="9"/>
  <c r="M129" i="9"/>
  <c r="BK72" i="9"/>
  <c r="BK73" i="9" s="1"/>
  <c r="BK130" i="9"/>
  <c r="CR62" i="6"/>
  <c r="M108" i="9"/>
  <c r="M121" i="9"/>
  <c r="M110" i="9" l="1"/>
  <c r="M72" i="9"/>
  <c r="M130" i="9"/>
  <c r="M73" i="9" l="1"/>
  <c r="R70" i="5" l="1"/>
  <c r="R69" i="5" l="1"/>
  <c r="R22" i="7"/>
  <c r="CQ109" i="6"/>
  <c r="R44" i="5"/>
  <c r="R45" i="5"/>
  <c r="R46" i="5"/>
  <c r="M62" i="9"/>
  <c r="BK63" i="9"/>
  <c r="BK65" i="9"/>
  <c r="BK54" i="9" l="1"/>
  <c r="BK60" i="9"/>
  <c r="BK61" i="9" s="1"/>
  <c r="M64" i="9"/>
  <c r="BK55" i="9"/>
  <c r="M63" i="9"/>
  <c r="BK64" i="9"/>
  <c r="BK56" i="9"/>
  <c r="CQ98" i="6"/>
  <c r="CQ103" i="6"/>
  <c r="BK58" i="9" l="1"/>
  <c r="M54" i="9"/>
  <c r="M55" i="9" s="1"/>
  <c r="M65" i="9"/>
  <c r="M60" i="9" s="1"/>
  <c r="CQ99" i="6"/>
  <c r="CQ104" i="6"/>
  <c r="BK57" i="9"/>
  <c r="M56" i="9"/>
  <c r="M57" i="9" l="1"/>
  <c r="BK59" i="9"/>
  <c r="M58" i="9"/>
  <c r="M61" i="9" l="1"/>
  <c r="M59" i="9"/>
  <c r="CC44" i="7" l="1"/>
  <c r="CC86" i="7"/>
  <c r="N53" i="6"/>
  <c r="N58" i="6"/>
  <c r="O44" i="7" s="1"/>
  <c r="CB62" i="6"/>
  <c r="CB107" i="6"/>
  <c r="CC105" i="6" s="1"/>
  <c r="CC106" i="6" s="1"/>
  <c r="AU111" i="9"/>
  <c r="AU60" i="9" s="1"/>
  <c r="I111" i="9" l="1"/>
  <c r="I137" i="9" s="1"/>
  <c r="I138" i="9" s="1"/>
  <c r="AU147" i="9"/>
  <c r="AU112" i="9"/>
  <c r="J112" i="9"/>
  <c r="I60" i="9"/>
  <c r="AU137" i="9"/>
  <c r="AU23" i="10" s="1"/>
  <c r="AU24" i="10" s="1"/>
  <c r="AU123" i="9"/>
  <c r="AV137" i="9"/>
  <c r="AV23" i="10" s="1"/>
  <c r="AV24" i="10" s="1"/>
  <c r="AV112" i="9"/>
  <c r="N107" i="6"/>
  <c r="I23" i="10"/>
  <c r="I24" i="10" s="1"/>
  <c r="CB106" i="6"/>
  <c r="CB104" i="6" s="1"/>
  <c r="N60" i="6"/>
  <c r="O86" i="7"/>
  <c r="AV61" i="9"/>
  <c r="AU61" i="9"/>
  <c r="J137" i="9"/>
  <c r="I112" i="9"/>
  <c r="CC104" i="6"/>
  <c r="O106" i="6"/>
  <c r="O104" i="6" s="1"/>
  <c r="I68" i="9" l="1"/>
  <c r="I123" i="9"/>
  <c r="I147" i="9"/>
  <c r="I61" i="9"/>
  <c r="J61" i="9"/>
  <c r="N106" i="6"/>
  <c r="N104" i="6" s="1"/>
  <c r="AU68" i="9"/>
  <c r="AV68" i="9"/>
  <c r="AU138" i="9"/>
  <c r="AW138" i="9"/>
  <c r="AV138" i="9"/>
  <c r="N62" i="6"/>
  <c r="J68" i="9"/>
  <c r="K138" i="9"/>
  <c r="J23" i="10"/>
  <c r="J24" i="10" s="1"/>
  <c r="J138" i="9"/>
  <c r="CS13" i="5" l="1"/>
  <c r="CS15" i="5" l="1"/>
  <c r="CS33" i="5" s="1"/>
  <c r="CS37" i="5" l="1"/>
  <c r="CS39" i="5" s="1"/>
  <c r="CS45" i="7"/>
  <c r="CS47" i="7" s="1"/>
  <c r="CS46" i="7" l="1"/>
  <c r="CS84" i="6"/>
  <c r="CS45" i="5"/>
  <c r="BL56" i="9"/>
  <c r="CS41" i="5"/>
  <c r="BL54" i="9" l="1"/>
  <c r="BL55" i="9" s="1"/>
  <c r="BL58" i="9"/>
  <c r="BL59" i="9" s="1"/>
  <c r="BL57" i="9"/>
  <c r="CR109" i="6" l="1"/>
  <c r="CS85" i="6" l="1"/>
  <c r="CS87" i="6" s="1"/>
  <c r="CS46" i="5"/>
  <c r="BL62" i="9" s="1"/>
  <c r="BL63" i="9" s="1"/>
  <c r="CS48" i="7"/>
  <c r="R109" i="6"/>
  <c r="CR98" i="6"/>
  <c r="CR103" i="6"/>
  <c r="R98" i="6" l="1"/>
  <c r="R99" i="6" s="1"/>
  <c r="CR99" i="6"/>
  <c r="R103" i="6"/>
  <c r="R104" i="6" s="1"/>
  <c r="CR104" i="6"/>
  <c r="CS58" i="6" l="1"/>
  <c r="CT86" i="7" l="1"/>
  <c r="CT44" i="7"/>
  <c r="BL111" i="9"/>
  <c r="CS63" i="5"/>
  <c r="CS67" i="5" s="1"/>
  <c r="BL60" i="9" l="1"/>
  <c r="BL61" i="9" s="1"/>
  <c r="BL147" i="9"/>
  <c r="BL123" i="9"/>
  <c r="BL137" i="9"/>
  <c r="BL112" i="9"/>
  <c r="CS68" i="5"/>
  <c r="BL115" i="9"/>
  <c r="BM36" i="9"/>
  <c r="CS37" i="6"/>
  <c r="CT72" i="7" l="1"/>
  <c r="BL107" i="9"/>
  <c r="CS72" i="7"/>
  <c r="BL138" i="9"/>
  <c r="BL23" i="10"/>
  <c r="BL68" i="9"/>
  <c r="CS69" i="5"/>
  <c r="CS22" i="7"/>
  <c r="BL116" i="9"/>
  <c r="BL129" i="9"/>
  <c r="CS48" i="6"/>
  <c r="BL109" i="9" s="1"/>
  <c r="BL110" i="9" s="1"/>
  <c r="BL24" i="10" l="1"/>
  <c r="BL121" i="9"/>
  <c r="BL108" i="9"/>
  <c r="BL72" i="9"/>
  <c r="BL73" i="9" s="1"/>
  <c r="BL130" i="9"/>
  <c r="CS60" i="6"/>
  <c r="CS62" i="6" l="1"/>
  <c r="BM99" i="9" l="1"/>
  <c r="BN133" i="9" l="1"/>
  <c r="BO134" i="9" s="1"/>
  <c r="BN100" i="9"/>
  <c r="BM100" i="9"/>
  <c r="BM133" i="9"/>
  <c r="BM134" i="9" s="1"/>
  <c r="BM141" i="9"/>
  <c r="BN79" i="9" l="1"/>
  <c r="BN134" i="9"/>
  <c r="BM142" i="9"/>
  <c r="BM101" i="9" l="1"/>
  <c r="BM143" i="9"/>
  <c r="BM154" i="9"/>
  <c r="BM102" i="9" l="1"/>
  <c r="BN102" i="9"/>
  <c r="BN149" i="9"/>
  <c r="BN150" i="9" s="1"/>
  <c r="BN156" i="9" s="1"/>
  <c r="BN155" i="9"/>
  <c r="BM151" i="9"/>
  <c r="BN152" i="9" s="1"/>
  <c r="BM155" i="9"/>
  <c r="BM113" i="9"/>
  <c r="BN127" i="9" l="1"/>
  <c r="BO128" i="9" s="1"/>
  <c r="BN114" i="9"/>
  <c r="BM114" i="9"/>
  <c r="BM127" i="9"/>
  <c r="BM128" i="9" s="1"/>
  <c r="BM22" i="9"/>
  <c r="BN84" i="9" s="1"/>
  <c r="BM150" i="9"/>
  <c r="BM156" i="9" s="1"/>
  <c r="BM152" i="9"/>
  <c r="BM103" i="9"/>
  <c r="BN104" i="9" s="1"/>
  <c r="BN71" i="9" l="1"/>
  <c r="BN70" i="9"/>
  <c r="BN128" i="9"/>
  <c r="BM104" i="9"/>
  <c r="BM144" i="9"/>
  <c r="BM79" i="9"/>
  <c r="BM84" i="9"/>
  <c r="BM17" i="9" l="1"/>
  <c r="BM145" i="9"/>
  <c r="BM146" i="9"/>
  <c r="BM71" i="9" l="1"/>
  <c r="BM97" i="9" l="1"/>
  <c r="BM122" i="9"/>
  <c r="BN131" i="9" l="1"/>
  <c r="BO132" i="9" s="1"/>
  <c r="BO25" i="10" s="1"/>
  <c r="BN98" i="9"/>
  <c r="CT32" i="5"/>
  <c r="BM28" i="9"/>
  <c r="BM29" i="9"/>
  <c r="BM98" i="9"/>
  <c r="BM120" i="9"/>
  <c r="BM131" i="9"/>
  <c r="BM119" i="9"/>
  <c r="BM32" i="9"/>
  <c r="BN86" i="9" l="1"/>
  <c r="BN77" i="9"/>
  <c r="BN8" i="10"/>
  <c r="BN14" i="10"/>
  <c r="BN16" i="10"/>
  <c r="BN20" i="10"/>
  <c r="BN21" i="10"/>
  <c r="BN9" i="10"/>
  <c r="BN11" i="10"/>
  <c r="BN13" i="10"/>
  <c r="BN15" i="10"/>
  <c r="BN17" i="10"/>
  <c r="BN18" i="10"/>
  <c r="BN74" i="9"/>
  <c r="BN132" i="9"/>
  <c r="BN25" i="10" s="1"/>
  <c r="BN69" i="9"/>
  <c r="BM16" i="10"/>
  <c r="BM13" i="10"/>
  <c r="BM14" i="10"/>
  <c r="BM17" i="10"/>
  <c r="BM74" i="9"/>
  <c r="BM132" i="9"/>
  <c r="BM25" i="10" s="1"/>
  <c r="BM11" i="10"/>
  <c r="BM8" i="10"/>
  <c r="BM15" i="10"/>
  <c r="BM77" i="9"/>
  <c r="BM86" i="9"/>
  <c r="BM18" i="10"/>
  <c r="BM92" i="9"/>
  <c r="BN10" i="10" l="1"/>
  <c r="BN12" i="10" s="1"/>
  <c r="CT13" i="5"/>
  <c r="BM18" i="9"/>
  <c r="BM9" i="10" s="1"/>
  <c r="BN19" i="10" l="1"/>
  <c r="BN22" i="10" s="1"/>
  <c r="BM10" i="10"/>
  <c r="BM12" i="10" s="1"/>
  <c r="CT15" i="5"/>
  <c r="CT33" i="5" s="1"/>
  <c r="BM20" i="9"/>
  <c r="BN83" i="9" s="1"/>
  <c r="BM19" i="10" l="1"/>
  <c r="CT45" i="7"/>
  <c r="CT47" i="7" s="1"/>
  <c r="BM45" i="9"/>
  <c r="BM20" i="10" s="1"/>
  <c r="CT37" i="5"/>
  <c r="BM24" i="9"/>
  <c r="BM34" i="9" s="1"/>
  <c r="BM38" i="9" s="1"/>
  <c r="BM70" i="9"/>
  <c r="BM76" i="9"/>
  <c r="BM78" i="9"/>
  <c r="BM83" i="9"/>
  <c r="BM91" i="9"/>
  <c r="BM93" i="9" s="1"/>
  <c r="BN94" i="9" s="1"/>
  <c r="CT46" i="7" l="1"/>
  <c r="CT39" i="5"/>
  <c r="BM40" i="9"/>
  <c r="BM21" i="10" s="1"/>
  <c r="BM75" i="9"/>
  <c r="BM94" i="9"/>
  <c r="BM22" i="10" l="1"/>
  <c r="CT41" i="5"/>
  <c r="CT84" i="6"/>
  <c r="BM80" i="9"/>
  <c r="BM43" i="9"/>
  <c r="BM47" i="9" s="1"/>
  <c r="BN88" i="9" s="1"/>
  <c r="BM69" i="9" l="1"/>
  <c r="BM51" i="9"/>
  <c r="BM88" i="9"/>
  <c r="CT63" i="5" l="1"/>
  <c r="CT67" i="5" s="1"/>
  <c r="BM111" i="9"/>
  <c r="CT68" i="5" l="1"/>
  <c r="CU68" i="5"/>
  <c r="BN112" i="9"/>
  <c r="BN137" i="9"/>
  <c r="BO138" i="9" s="1"/>
  <c r="BM112" i="9"/>
  <c r="BM123" i="9"/>
  <c r="BM137" i="9"/>
  <c r="BM147" i="9"/>
  <c r="CU22" i="7" l="1"/>
  <c r="CU69" i="5"/>
  <c r="BN138" i="9"/>
  <c r="BN68" i="9"/>
  <c r="BN23" i="10"/>
  <c r="CT69" i="5"/>
  <c r="CT22" i="7"/>
  <c r="BM23" i="10"/>
  <c r="BM138" i="9"/>
  <c r="BM68" i="9"/>
  <c r="BM115" i="9"/>
  <c r="BM107" i="9"/>
  <c r="BN108" i="9" s="1"/>
  <c r="BM24" i="10" l="1"/>
  <c r="BN24" i="10"/>
  <c r="BN129" i="9"/>
  <c r="BN116" i="9"/>
  <c r="BM116" i="9"/>
  <c r="BM129" i="9"/>
  <c r="BM121" i="9"/>
  <c r="BM108" i="9"/>
  <c r="BM109" i="9"/>
  <c r="BM110" i="9" l="1"/>
  <c r="BN110" i="9"/>
  <c r="BN130" i="9"/>
  <c r="BN72" i="9"/>
  <c r="BN73" i="9" s="1"/>
  <c r="BM72" i="9"/>
  <c r="BM73" i="9" s="1"/>
  <c r="BM130" i="9"/>
  <c r="CT59" i="5" l="1"/>
  <c r="S19" i="6" l="1"/>
  <c r="S21" i="6"/>
  <c r="S60" i="7" s="1"/>
  <c r="BP142" i="9" l="1"/>
  <c r="BP99" i="9"/>
  <c r="BP133" i="9" s="1"/>
  <c r="BP134" i="9" s="1"/>
  <c r="N99" i="9"/>
  <c r="S20" i="6"/>
  <c r="DA71" i="6"/>
  <c r="S68" i="6"/>
  <c r="N100" i="9" l="1"/>
  <c r="N133" i="9"/>
  <c r="N141" i="9"/>
  <c r="BP154" i="9"/>
  <c r="BQ99" i="9"/>
  <c r="BP101" i="9"/>
  <c r="BP102" i="9" s="1"/>
  <c r="N142" i="9"/>
  <c r="BP149" i="9"/>
  <c r="DA69" i="6"/>
  <c r="S67" i="6"/>
  <c r="S51" i="5"/>
  <c r="S57" i="5" s="1"/>
  <c r="BP100" i="9"/>
  <c r="BP141" i="9"/>
  <c r="BP143" i="9" s="1"/>
  <c r="BQ133" i="9" l="1"/>
  <c r="BQ134" i="9" s="1"/>
  <c r="BR133" i="9"/>
  <c r="BR100" i="9"/>
  <c r="N134" i="9"/>
  <c r="DA19" i="6"/>
  <c r="DA68" i="6"/>
  <c r="S69" i="6"/>
  <c r="N101" i="9"/>
  <c r="BQ142" i="9"/>
  <c r="BP113" i="9"/>
  <c r="BP127" i="9" s="1"/>
  <c r="BQ149" i="9"/>
  <c r="BP155" i="9"/>
  <c r="S76" i="6"/>
  <c r="S24" i="7" s="1"/>
  <c r="T58" i="5"/>
  <c r="N113" i="9"/>
  <c r="N154" i="9"/>
  <c r="N143" i="9"/>
  <c r="BQ100" i="9"/>
  <c r="BQ141" i="9"/>
  <c r="BR79" i="9" l="1"/>
  <c r="BR134" i="9"/>
  <c r="BS134" i="9"/>
  <c r="DA67" i="6"/>
  <c r="BT101" i="9" s="1"/>
  <c r="N102" i="9"/>
  <c r="BP22" i="9"/>
  <c r="T21" i="6"/>
  <c r="N114" i="9"/>
  <c r="N127" i="9"/>
  <c r="S74" i="6"/>
  <c r="S75" i="6"/>
  <c r="S77" i="6" s="1"/>
  <c r="BQ154" i="9"/>
  <c r="BQ143" i="9"/>
  <c r="O149" i="9"/>
  <c r="N155" i="9"/>
  <c r="T19" i="6"/>
  <c r="S78" i="6"/>
  <c r="BP128" i="9"/>
  <c r="BP114" i="9"/>
  <c r="BQ101" i="9"/>
  <c r="S71" i="6"/>
  <c r="DA21" i="6"/>
  <c r="BT142" i="9"/>
  <c r="BT99" i="9"/>
  <c r="BQ102" i="9" l="1"/>
  <c r="BR102" i="9"/>
  <c r="BR149" i="9"/>
  <c r="BR150" i="9" s="1"/>
  <c r="BR156" i="9" s="1"/>
  <c r="BR155" i="9"/>
  <c r="DA20" i="6"/>
  <c r="DA51" i="5" s="1"/>
  <c r="DA57" i="5" s="1"/>
  <c r="BT113" i="9" s="1"/>
  <c r="S61" i="7"/>
  <c r="S23" i="7"/>
  <c r="N128" i="9"/>
  <c r="BT100" i="9"/>
  <c r="BT141" i="9"/>
  <c r="BT143" i="9" s="1"/>
  <c r="N153" i="9"/>
  <c r="O99" i="9"/>
  <c r="BQ155" i="9"/>
  <c r="BP84" i="9"/>
  <c r="S14" i="5"/>
  <c r="S80" i="6"/>
  <c r="T60" i="7"/>
  <c r="T68" i="6"/>
  <c r="BP79" i="9"/>
  <c r="BT154" i="9"/>
  <c r="BQ113" i="9"/>
  <c r="BT133" i="9"/>
  <c r="BT134" i="9" s="1"/>
  <c r="BR127" i="9" l="1"/>
  <c r="BR114" i="9"/>
  <c r="N151" i="9"/>
  <c r="T20" i="6"/>
  <c r="BQ114" i="9"/>
  <c r="BQ127" i="9"/>
  <c r="BQ128" i="9" s="1"/>
  <c r="O142" i="9"/>
  <c r="BP153" i="9"/>
  <c r="BP151" i="9" s="1"/>
  <c r="N22" i="9"/>
  <c r="BT149" i="9"/>
  <c r="BQ22" i="9"/>
  <c r="BU149" i="9"/>
  <c r="BT155" i="9"/>
  <c r="N103" i="9"/>
  <c r="S22" i="6"/>
  <c r="BT102" i="9"/>
  <c r="O100" i="9"/>
  <c r="O141" i="9"/>
  <c r="O133" i="9"/>
  <c r="BR84" i="9" l="1"/>
  <c r="BR128" i="9"/>
  <c r="BR70" i="9"/>
  <c r="BR71" i="9"/>
  <c r="BS128" i="9"/>
  <c r="N150" i="9"/>
  <c r="N152" i="9"/>
  <c r="O134" i="9"/>
  <c r="BP103" i="9"/>
  <c r="S23" i="6"/>
  <c r="N104" i="9"/>
  <c r="N144" i="9"/>
  <c r="BQ84" i="9"/>
  <c r="BQ79" i="9"/>
  <c r="O143" i="9"/>
  <c r="O154" i="9"/>
  <c r="T67" i="6"/>
  <c r="T51" i="5"/>
  <c r="T57" i="5" s="1"/>
  <c r="N84" i="9"/>
  <c r="N79" i="9"/>
  <c r="BP150" i="9"/>
  <c r="BP156" i="9" s="1"/>
  <c r="BP152" i="9"/>
  <c r="DA58" i="5"/>
  <c r="N156" i="9" l="1"/>
  <c r="S11" i="6"/>
  <c r="O113" i="9"/>
  <c r="U58" i="5"/>
  <c r="O155" i="9"/>
  <c r="P149" i="9"/>
  <c r="BQ153" i="9"/>
  <c r="BQ151" i="9" s="1"/>
  <c r="BR152" i="9" s="1"/>
  <c r="BT127" i="9"/>
  <c r="BT114" i="9"/>
  <c r="T69" i="6"/>
  <c r="O101" i="9"/>
  <c r="N146" i="9"/>
  <c r="N145" i="9"/>
  <c r="BP104" i="9"/>
  <c r="BP144" i="9"/>
  <c r="O102" i="9" l="1"/>
  <c r="BQ103" i="9"/>
  <c r="BR104" i="9" s="1"/>
  <c r="T71" i="6"/>
  <c r="BQ150" i="9"/>
  <c r="BQ156" i="9" s="1"/>
  <c r="BQ152" i="9"/>
  <c r="S13" i="6"/>
  <c r="BP145" i="9"/>
  <c r="BP146" i="9"/>
  <c r="BT128" i="9"/>
  <c r="O114" i="9"/>
  <c r="O127" i="9"/>
  <c r="O128" i="9" l="1"/>
  <c r="S31" i="6"/>
  <c r="BQ104" i="9"/>
  <c r="BQ144" i="9"/>
  <c r="S52" i="7" l="1"/>
  <c r="S28" i="5"/>
  <c r="S38" i="7" s="1"/>
  <c r="S29" i="5"/>
  <c r="S39" i="7" s="1"/>
  <c r="BQ146" i="9"/>
  <c r="BQ145" i="9"/>
  <c r="N97" i="9"/>
  <c r="N122" i="9"/>
  <c r="S31" i="5"/>
  <c r="S41" i="7" s="1"/>
  <c r="BP97" i="9" l="1"/>
  <c r="BP122" i="9"/>
  <c r="S32" i="5"/>
  <c r="N28" i="9"/>
  <c r="N32" i="9"/>
  <c r="N98" i="9"/>
  <c r="N120" i="9"/>
  <c r="N131" i="9"/>
  <c r="N119" i="9"/>
  <c r="N29" i="9"/>
  <c r="CX13" i="6"/>
  <c r="CX31" i="6" s="1"/>
  <c r="CX52" i="7" l="1"/>
  <c r="CY39" i="7"/>
  <c r="CY41" i="7"/>
  <c r="CY38" i="7"/>
  <c r="CX39" i="7"/>
  <c r="CX38" i="7"/>
  <c r="CX41" i="7"/>
  <c r="N16" i="10"/>
  <c r="BP28" i="9"/>
  <c r="N14" i="10"/>
  <c r="N13" i="10"/>
  <c r="N17" i="10"/>
  <c r="N74" i="9"/>
  <c r="N132" i="9"/>
  <c r="N11" i="10"/>
  <c r="N18" i="10"/>
  <c r="N92" i="9"/>
  <c r="N15" i="10"/>
  <c r="N77" i="9"/>
  <c r="N86" i="9"/>
  <c r="BP32" i="9"/>
  <c r="BP29" i="9"/>
  <c r="BP98" i="9"/>
  <c r="BP120" i="9"/>
  <c r="BP119" i="9"/>
  <c r="BP131" i="9"/>
  <c r="N25" i="10" l="1"/>
  <c r="BP18" i="10"/>
  <c r="BP92" i="9"/>
  <c r="BQ97" i="9"/>
  <c r="BQ122" i="9"/>
  <c r="BP15" i="10"/>
  <c r="BP77" i="9"/>
  <c r="BP86" i="9"/>
  <c r="BP13" i="10"/>
  <c r="BP17" i="10"/>
  <c r="BP14" i="10"/>
  <c r="BP74" i="9"/>
  <c r="BP132" i="9"/>
  <c r="BP25" i="10" s="1"/>
  <c r="BP11" i="10"/>
  <c r="BP16" i="10"/>
  <c r="BR131" i="9" l="1"/>
  <c r="BR98" i="9"/>
  <c r="BQ32" i="9"/>
  <c r="BQ29" i="9"/>
  <c r="BQ16" i="10" s="1"/>
  <c r="BQ28" i="9"/>
  <c r="BQ98" i="9"/>
  <c r="BQ120" i="9"/>
  <c r="BQ119" i="9"/>
  <c r="BQ131" i="9"/>
  <c r="BQ13" i="10" l="1"/>
  <c r="BQ14" i="10"/>
  <c r="BQ17" i="10"/>
  <c r="BQ11" i="10"/>
  <c r="BR132" i="9"/>
  <c r="BR25" i="10" s="1"/>
  <c r="BR21" i="10"/>
  <c r="BR9" i="10"/>
  <c r="BR77" i="9"/>
  <c r="BR16" i="10"/>
  <c r="BR11" i="10"/>
  <c r="BR17" i="10"/>
  <c r="BR20" i="10"/>
  <c r="BR18" i="10"/>
  <c r="BR13" i="10"/>
  <c r="BR15" i="10"/>
  <c r="BR8" i="10"/>
  <c r="BR74" i="9"/>
  <c r="BS132" i="9"/>
  <c r="BS25" i="10" s="1"/>
  <c r="BR14" i="10"/>
  <c r="BR69" i="9"/>
  <c r="BQ15" i="10"/>
  <c r="BR86" i="9"/>
  <c r="BQ18" i="10"/>
  <c r="BQ77" i="9"/>
  <c r="BQ86" i="9"/>
  <c r="BQ92" i="9"/>
  <c r="BQ74" i="9"/>
  <c r="BQ132" i="9"/>
  <c r="BQ25" i="10" s="1"/>
  <c r="BR10" i="10" l="1"/>
  <c r="BR12" i="10" s="1"/>
  <c r="BR19" i="10"/>
  <c r="BR22" i="10" s="1"/>
  <c r="CV59" i="5" l="1"/>
  <c r="CU59" i="5"/>
  <c r="S60" i="5" l="1"/>
  <c r="S21" i="7" s="1"/>
  <c r="S59" i="5" l="1"/>
  <c r="S11" i="5"/>
  <c r="N17" i="9" l="1"/>
  <c r="N8" i="10" l="1"/>
  <c r="N71" i="9"/>
  <c r="S83" i="6" l="1"/>
  <c r="S34" i="5" l="1"/>
  <c r="S44" i="7" s="1"/>
  <c r="S50" i="6"/>
  <c r="S86" i="7" s="1"/>
  <c r="N36" i="9" l="1"/>
  <c r="S38" i="5" l="1"/>
  <c r="N45" i="9" s="1"/>
  <c r="N20" i="10" s="1"/>
  <c r="S36" i="5"/>
  <c r="S12" i="5"/>
  <c r="S84" i="6"/>
  <c r="N18" i="9" l="1"/>
  <c r="S13" i="5"/>
  <c r="N40" i="9"/>
  <c r="N21" i="10" l="1"/>
  <c r="S15" i="5"/>
  <c r="S33" i="5" s="1"/>
  <c r="N20" i="9"/>
  <c r="N9" i="10"/>
  <c r="N10" i="10" s="1"/>
  <c r="N12" i="10" s="1"/>
  <c r="N19" i="10" s="1"/>
  <c r="S45" i="7" l="1"/>
  <c r="S46" i="7" s="1"/>
  <c r="N22" i="10"/>
  <c r="S88" i="6"/>
  <c r="N78" i="9"/>
  <c r="N83" i="9"/>
  <c r="N70" i="9"/>
  <c r="N76" i="9"/>
  <c r="N91" i="9"/>
  <c r="N93" i="9" s="1"/>
  <c r="N24" i="9"/>
  <c r="N34" i="9" s="1"/>
  <c r="S37" i="5"/>
  <c r="N38" i="9" l="1"/>
  <c r="N80" i="9" s="1"/>
  <c r="S47" i="7"/>
  <c r="S39" i="5"/>
  <c r="N43" i="9"/>
  <c r="N47" i="9" s="1"/>
  <c r="N94" i="9"/>
  <c r="N75" i="9"/>
  <c r="S57" i="6"/>
  <c r="CV63" i="5" l="1"/>
  <c r="CV67" i="5" s="1"/>
  <c r="S58" i="6"/>
  <c r="N69" i="9"/>
  <c r="N51" i="9"/>
  <c r="N88" i="9"/>
  <c r="S41" i="5"/>
  <c r="CV68" i="5" l="1"/>
  <c r="BO115" i="9"/>
  <c r="N111" i="9"/>
  <c r="BP36" i="9"/>
  <c r="S36" i="6"/>
  <c r="S74" i="7" s="1"/>
  <c r="BO116" i="9" l="1"/>
  <c r="BO129" i="9"/>
  <c r="CV69" i="5"/>
  <c r="CV22" i="7"/>
  <c r="S37" i="6"/>
  <c r="S72" i="7" s="1"/>
  <c r="S63" i="5"/>
  <c r="S67" i="5" s="1"/>
  <c r="N123" i="9"/>
  <c r="N137" i="9"/>
  <c r="N147" i="9"/>
  <c r="N112" i="9"/>
  <c r="BO130" i="9" l="1"/>
  <c r="BO72" i="9"/>
  <c r="BO73" i="9" s="1"/>
  <c r="N138" i="9"/>
  <c r="N23" i="10"/>
  <c r="N24" i="10" s="1"/>
  <c r="N68" i="9"/>
  <c r="N107" i="9"/>
  <c r="S48" i="6"/>
  <c r="S68" i="5"/>
  <c r="N115" i="9"/>
  <c r="N108" i="9" l="1"/>
  <c r="N121" i="9"/>
  <c r="CV62" i="6"/>
  <c r="N116" i="9"/>
  <c r="N129" i="9"/>
  <c r="S60" i="6"/>
  <c r="N109" i="9"/>
  <c r="N110" i="9" s="1"/>
  <c r="S62" i="6" l="1"/>
  <c r="N130" i="9"/>
  <c r="N72" i="9"/>
  <c r="N73" i="9" s="1"/>
  <c r="BQ17" i="9" l="1"/>
  <c r="BQ8" i="10" s="1"/>
  <c r="CW59" i="5"/>
  <c r="BQ71" i="9" l="1"/>
  <c r="BP17" i="9" l="1"/>
  <c r="BP71" i="9" l="1"/>
  <c r="BP8" i="10"/>
  <c r="DA35" i="6" l="1"/>
  <c r="T35" i="6" l="1"/>
  <c r="T73" i="7" s="1"/>
  <c r="S70" i="5" l="1"/>
  <c r="S22" i="7" l="1"/>
  <c r="S69" i="5"/>
  <c r="BP18" i="9" l="1"/>
  <c r="BP9" i="10" s="1"/>
  <c r="BP40" i="9"/>
  <c r="BP21" i="10" s="1"/>
  <c r="BP45" i="9"/>
  <c r="BP20" i="10" s="1"/>
  <c r="BP20" i="9" l="1"/>
  <c r="BP24" i="9"/>
  <c r="BP34" i="9" s="1"/>
  <c r="BP38" i="9" s="1"/>
  <c r="BP80" i="9" s="1"/>
  <c r="BP78" i="9"/>
  <c r="BP10" i="10"/>
  <c r="BP12" i="10" s="1"/>
  <c r="BP91" i="9"/>
  <c r="BP93" i="9" s="1"/>
  <c r="BP75" i="9" s="1"/>
  <c r="BP70" i="9"/>
  <c r="BP83" i="9"/>
  <c r="BP76" i="9"/>
  <c r="BP43" i="9" l="1"/>
  <c r="BP47" i="9" s="1"/>
  <c r="BP19" i="10"/>
  <c r="BP94" i="9"/>
  <c r="BP51" i="9"/>
  <c r="BP69" i="9"/>
  <c r="BP88" i="9"/>
  <c r="BP22" i="10" l="1"/>
  <c r="CW63" i="5" l="1"/>
  <c r="CW67" i="5" s="1"/>
  <c r="BP111" i="9"/>
  <c r="CW68" i="5" l="1"/>
  <c r="CX68" i="5"/>
  <c r="CW69" i="5"/>
  <c r="CW22" i="7"/>
  <c r="BP112" i="9"/>
  <c r="BP123" i="9"/>
  <c r="BP137" i="9"/>
  <c r="BP147" i="9"/>
  <c r="BQ36" i="9"/>
  <c r="CX69" i="5" l="1"/>
  <c r="CX22" i="7"/>
  <c r="BP23" i="10"/>
  <c r="BP138" i="9"/>
  <c r="BP68" i="9"/>
  <c r="BP115" i="9"/>
  <c r="BP107" i="9"/>
  <c r="BP24" i="10" l="1"/>
  <c r="BP109" i="9"/>
  <c r="BP110" i="9" s="1"/>
  <c r="BP108" i="9"/>
  <c r="BP121" i="9"/>
  <c r="BP116" i="9"/>
  <c r="BP129" i="9"/>
  <c r="BP72" i="9" l="1"/>
  <c r="BP73" i="9" s="1"/>
  <c r="BP130" i="9"/>
  <c r="CW62" i="6"/>
  <c r="CS109" i="6" l="1"/>
  <c r="CS98" i="6" s="1"/>
  <c r="CT109" i="6"/>
  <c r="CU109" i="6"/>
  <c r="CV109" i="6"/>
  <c r="CW43" i="5"/>
  <c r="S44" i="5"/>
  <c r="N64" i="9" s="1"/>
  <c r="N65" i="9" s="1"/>
  <c r="N60" i="9" s="1"/>
  <c r="CT45" i="5"/>
  <c r="CU45" i="5"/>
  <c r="CV45" i="5"/>
  <c r="CW45" i="5"/>
  <c r="BM65" i="9"/>
  <c r="BM60" i="9" s="1"/>
  <c r="BN65" i="9"/>
  <c r="BO65" i="9"/>
  <c r="BO54" i="9" s="1"/>
  <c r="BP65" i="9"/>
  <c r="BM64" i="9" l="1"/>
  <c r="BO60" i="9"/>
  <c r="BM56" i="9"/>
  <c r="BM54" i="9"/>
  <c r="BM55" i="9" s="1"/>
  <c r="BO64" i="9"/>
  <c r="BO56" i="9"/>
  <c r="BO58" i="9" s="1"/>
  <c r="CT103" i="6"/>
  <c r="CT104" i="6" s="1"/>
  <c r="S45" i="5"/>
  <c r="CW46" i="5"/>
  <c r="N61" i="9"/>
  <c r="BP54" i="9"/>
  <c r="BP56" i="9"/>
  <c r="BP60" i="9"/>
  <c r="BP64" i="9"/>
  <c r="BN54" i="9"/>
  <c r="BN56" i="9"/>
  <c r="N56" i="9" s="1"/>
  <c r="BN60" i="9"/>
  <c r="BN64" i="9"/>
  <c r="BM61" i="9"/>
  <c r="CW48" i="7"/>
  <c r="CW85" i="6"/>
  <c r="S109" i="6"/>
  <c r="CV98" i="6"/>
  <c r="CV99" i="6" s="1"/>
  <c r="CV103" i="6"/>
  <c r="CV104" i="6" s="1"/>
  <c r="CT98" i="6"/>
  <c r="CT99" i="6" s="1"/>
  <c r="CU98" i="6"/>
  <c r="CU99" i="6" s="1"/>
  <c r="CS99" i="6"/>
  <c r="CU103" i="6"/>
  <c r="CU104" i="6" s="1"/>
  <c r="CS103" i="6"/>
  <c r="BN55" i="9" l="1"/>
  <c r="BO55" i="9"/>
  <c r="BO57" i="9"/>
  <c r="BM57" i="9"/>
  <c r="BM58" i="9"/>
  <c r="BM59" i="9" s="1"/>
  <c r="N54" i="9"/>
  <c r="N55" i="9" s="1"/>
  <c r="N57" i="9"/>
  <c r="BP62" i="9"/>
  <c r="S103" i="6"/>
  <c r="S104" i="6" s="1"/>
  <c r="CS104" i="6"/>
  <c r="S98" i="6"/>
  <c r="S99" i="6" s="1"/>
  <c r="CW87" i="6"/>
  <c r="BN61" i="9"/>
  <c r="BP61" i="9"/>
  <c r="BP55" i="9"/>
  <c r="BN58" i="9"/>
  <c r="BO59" i="9" s="1"/>
  <c r="BN57" i="9"/>
  <c r="BP58" i="9"/>
  <c r="BP57" i="9"/>
  <c r="BO61" i="9"/>
  <c r="BN59" i="9" l="1"/>
  <c r="N58" i="9"/>
  <c r="BP59" i="9"/>
  <c r="N59" i="9" l="1"/>
  <c r="BQ18" i="9" l="1"/>
  <c r="BQ9" i="10" s="1"/>
  <c r="BQ10" i="10" s="1"/>
  <c r="BQ12" i="10" s="1"/>
  <c r="BQ19" i="10" s="1"/>
  <c r="BQ20" i="9" l="1"/>
  <c r="BQ83" i="9" s="1"/>
  <c r="BQ76" i="9"/>
  <c r="BQ24" i="9"/>
  <c r="BQ34" i="9" s="1"/>
  <c r="BQ38" i="9" s="1"/>
  <c r="BR83" i="9" l="1"/>
  <c r="BQ70" i="9"/>
  <c r="BQ78" i="9"/>
  <c r="BQ91" i="9"/>
  <c r="BQ93" i="9" s="1"/>
  <c r="BQ45" i="9"/>
  <c r="BQ20" i="10" s="1"/>
  <c r="BQ40" i="9"/>
  <c r="BQ21" i="10" s="1"/>
  <c r="BQ75" i="9" l="1"/>
  <c r="BR94" i="9"/>
  <c r="BQ94" i="9"/>
  <c r="BQ22" i="10"/>
  <c r="BQ80" i="9"/>
  <c r="BQ43" i="9"/>
  <c r="BQ47" i="9" s="1"/>
  <c r="BR88" i="9" s="1"/>
  <c r="BQ51" i="9" l="1"/>
  <c r="BQ69" i="9"/>
  <c r="BQ88" i="9"/>
  <c r="BQ111" i="9" l="1"/>
  <c r="BR137" i="9" l="1"/>
  <c r="BR112" i="9"/>
  <c r="BQ123" i="9"/>
  <c r="BQ147" i="9"/>
  <c r="BQ112" i="9"/>
  <c r="BQ137" i="9"/>
  <c r="BQ23" i="10" s="1"/>
  <c r="BQ24" i="10" s="1"/>
  <c r="BR138" i="9" l="1"/>
  <c r="BS138" i="9"/>
  <c r="BR68" i="9"/>
  <c r="BR23" i="10"/>
  <c r="BR24" i="10" s="1"/>
  <c r="BQ107" i="9"/>
  <c r="BR108" i="9" s="1"/>
  <c r="BQ138" i="9"/>
  <c r="BQ68" i="9"/>
  <c r="BQ115" i="9"/>
  <c r="BQ129" i="9" l="1"/>
  <c r="BQ116" i="9"/>
  <c r="BQ108" i="9"/>
  <c r="BQ121" i="9"/>
  <c r="BQ109" i="9"/>
  <c r="BQ110" i="9" l="1"/>
  <c r="BR110" i="9"/>
  <c r="CX62" i="6"/>
  <c r="BQ72" i="9"/>
  <c r="BQ73" i="9" s="1"/>
  <c r="BQ130" i="9"/>
  <c r="CX59" i="5" l="1"/>
  <c r="T76" i="6" l="1"/>
  <c r="T24" i="7" s="1"/>
  <c r="T78" i="6" l="1"/>
  <c r="T75" i="6"/>
  <c r="T77" i="6" s="1"/>
  <c r="T23" i="7" s="1"/>
  <c r="T74" i="6"/>
  <c r="T14" i="5" l="1"/>
  <c r="DA74" i="6"/>
  <c r="T80" i="6"/>
  <c r="DA76" i="6"/>
  <c r="DA78" i="6"/>
  <c r="T61" i="7"/>
  <c r="O153" i="9"/>
  <c r="O151" i="9" l="1"/>
  <c r="BT153" i="9"/>
  <c r="BT151" i="9" s="1"/>
  <c r="O22" i="9"/>
  <c r="O103" i="9"/>
  <c r="T22" i="6"/>
  <c r="O150" i="9" l="1"/>
  <c r="O152" i="9"/>
  <c r="T23" i="6"/>
  <c r="O104" i="9"/>
  <c r="O144" i="9"/>
  <c r="O79" i="9"/>
  <c r="O84" i="9"/>
  <c r="BT150" i="9"/>
  <c r="BT156" i="9" s="1"/>
  <c r="BT152" i="9"/>
  <c r="O156" i="9" l="1"/>
  <c r="O145" i="9"/>
  <c r="O146" i="9"/>
  <c r="T11" i="6"/>
  <c r="T13" i="6" l="1"/>
  <c r="T31" i="6" l="1"/>
  <c r="T31" i="5" l="1"/>
  <c r="O97" i="9"/>
  <c r="O122" i="9"/>
  <c r="T52" i="7"/>
  <c r="O119" i="9" l="1"/>
  <c r="O131" i="9"/>
  <c r="O98" i="9"/>
  <c r="O120" i="9"/>
  <c r="T41" i="7"/>
  <c r="O32" i="9"/>
  <c r="O13" i="10" l="1"/>
  <c r="O17" i="10"/>
  <c r="O14" i="10"/>
  <c r="O74" i="9"/>
  <c r="O132" i="9"/>
  <c r="O11" i="10"/>
  <c r="O18" i="10"/>
  <c r="O92" i="9"/>
  <c r="O25" i="10" l="1"/>
  <c r="DB71" i="6" l="1"/>
  <c r="DB69" i="6" s="1"/>
  <c r="DC71" i="6" l="1"/>
  <c r="DB19" i="6"/>
  <c r="BU99" i="9" l="1"/>
  <c r="DC69" i="6"/>
  <c r="DB68" i="6" l="1"/>
  <c r="BU100" i="9"/>
  <c r="BU133" i="9"/>
  <c r="BU134" i="9" s="1"/>
  <c r="BU141" i="9"/>
  <c r="DC19" i="6"/>
  <c r="DC68" i="6"/>
  <c r="DC21" i="6" l="1"/>
  <c r="BV142" i="9"/>
  <c r="BV99" i="9"/>
  <c r="DC67" i="6"/>
  <c r="DB21" i="6"/>
  <c r="BU142" i="9"/>
  <c r="DB67" i="6"/>
  <c r="BU143" i="9" l="1"/>
  <c r="BU154" i="9"/>
  <c r="BV154" i="9"/>
  <c r="DB20" i="6"/>
  <c r="DB51" i="5" s="1"/>
  <c r="DB57" i="5" s="1"/>
  <c r="BU101" i="9"/>
  <c r="BU102" i="9" s="1"/>
  <c r="DC20" i="6"/>
  <c r="DC51" i="5" s="1"/>
  <c r="DC57" i="5" s="1"/>
  <c r="BV101" i="9"/>
  <c r="BV100" i="9"/>
  <c r="BV141" i="9"/>
  <c r="BV143" i="9" s="1"/>
  <c r="BV133" i="9"/>
  <c r="BV134" i="9" s="1"/>
  <c r="BV102" i="9" l="1"/>
  <c r="BW149" i="9"/>
  <c r="BV155" i="9"/>
  <c r="BV113" i="9"/>
  <c r="DC58" i="5"/>
  <c r="DB58" i="5"/>
  <c r="BU113" i="9"/>
  <c r="BV149" i="9"/>
  <c r="BU155" i="9"/>
  <c r="DC59" i="5" l="1"/>
  <c r="DC60" i="5" s="1"/>
  <c r="DC11" i="5" s="1"/>
  <c r="BV17" i="9" s="1"/>
  <c r="BV127" i="9"/>
  <c r="BU114" i="9"/>
  <c r="BU127" i="9"/>
  <c r="BU128" i="9" s="1"/>
  <c r="BV114" i="9"/>
  <c r="BV128" i="9" l="1"/>
  <c r="BV71" i="9"/>
  <c r="T60" i="5" l="1"/>
  <c r="T21" i="7" l="1"/>
  <c r="T59" i="5"/>
  <c r="T11" i="5"/>
  <c r="O17" i="9" l="1"/>
  <c r="O8" i="10" l="1"/>
  <c r="O71" i="9"/>
  <c r="DB35" i="6" l="1"/>
  <c r="DC35" i="6" l="1"/>
  <c r="T28" i="5" l="1"/>
  <c r="T38" i="7" s="1"/>
  <c r="O28" i="9" l="1"/>
  <c r="O15" i="10" l="1"/>
  <c r="T29" i="5" l="1"/>
  <c r="T39" i="7" l="1"/>
  <c r="T32" i="5"/>
  <c r="O29" i="9"/>
  <c r="O16" i="10" l="1"/>
  <c r="O77" i="9"/>
  <c r="O86" i="9"/>
  <c r="T83" i="6" l="1"/>
  <c r="CY63" i="5" l="1"/>
  <c r="CY67" i="5" s="1"/>
  <c r="CY68" i="5" l="1"/>
  <c r="BR115" i="9"/>
  <c r="T50" i="6"/>
  <c r="T34" i="5"/>
  <c r="BR116" i="9" l="1"/>
  <c r="BR129" i="9"/>
  <c r="CY69" i="5"/>
  <c r="CY22" i="7"/>
  <c r="T44" i="7"/>
  <c r="O36" i="9"/>
  <c r="T86" i="7"/>
  <c r="BR130" i="9" l="1"/>
  <c r="BR72" i="9"/>
  <c r="BR73" i="9" s="1"/>
  <c r="CY62" i="6"/>
  <c r="T12" i="5"/>
  <c r="T13" i="5" s="1"/>
  <c r="O18" i="9"/>
  <c r="O9" i="10" s="1"/>
  <c r="O10" i="10" s="1"/>
  <c r="O12" i="10" s="1"/>
  <c r="O19" i="10" s="1"/>
  <c r="O20" i="9"/>
  <c r="O24" i="9" s="1"/>
  <c r="O34" i="9" s="1"/>
  <c r="O38" i="9" s="1"/>
  <c r="O70" i="9" l="1"/>
  <c r="O91" i="9"/>
  <c r="O93" i="9" s="1"/>
  <c r="O94" i="9" s="1"/>
  <c r="O78" i="9"/>
  <c r="O83" i="9"/>
  <c r="O76" i="9"/>
  <c r="T36" i="5"/>
  <c r="O40" i="9" s="1"/>
  <c r="T15" i="5"/>
  <c r="T33" i="5" s="1"/>
  <c r="O75" i="9" l="1"/>
  <c r="O21" i="10"/>
  <c r="O43" i="9"/>
  <c r="O80" i="9"/>
  <c r="T38" i="5"/>
  <c r="T37" i="5"/>
  <c r="T45" i="7"/>
  <c r="T47" i="7" s="1"/>
  <c r="O45" i="9" l="1"/>
  <c r="O20" i="10" s="1"/>
  <c r="O22" i="10" s="1"/>
  <c r="T46" i="7"/>
  <c r="T39" i="5"/>
  <c r="O47" i="9" l="1"/>
  <c r="T84" i="6"/>
  <c r="T41" i="5"/>
  <c r="O51" i="9" l="1"/>
  <c r="O69" i="9"/>
  <c r="O88" i="9"/>
  <c r="DA83" i="6" l="1"/>
  <c r="T88" i="6"/>
  <c r="T57" i="6" l="1"/>
  <c r="CZ63" i="5" l="1"/>
  <c r="CZ67" i="5" s="1"/>
  <c r="T58" i="6"/>
  <c r="DA34" i="5"/>
  <c r="DA50" i="6"/>
  <c r="CZ68" i="5" l="1"/>
  <c r="BS115" i="9"/>
  <c r="O111" i="9"/>
  <c r="BT36" i="9"/>
  <c r="T36" i="6"/>
  <c r="BS129" i="9" l="1"/>
  <c r="BS116" i="9"/>
  <c r="CZ69" i="5"/>
  <c r="CZ22" i="7"/>
  <c r="T37" i="6"/>
  <c r="T63" i="5"/>
  <c r="T67" i="5" s="1"/>
  <c r="T74" i="7"/>
  <c r="O112" i="9"/>
  <c r="O123" i="9"/>
  <c r="O147" i="9"/>
  <c r="O137" i="9"/>
  <c r="BS130" i="9" l="1"/>
  <c r="BS72" i="9"/>
  <c r="BS73" i="9" s="1"/>
  <c r="O68" i="9"/>
  <c r="O23" i="10"/>
  <c r="O24" i="10" s="1"/>
  <c r="O138" i="9"/>
  <c r="T68" i="5"/>
  <c r="O115" i="9"/>
  <c r="T48" i="6"/>
  <c r="O107" i="9"/>
  <c r="T72" i="7"/>
  <c r="O121" i="9" l="1"/>
  <c r="O108" i="9"/>
  <c r="O116" i="9"/>
  <c r="O129" i="9"/>
  <c r="CZ62" i="6"/>
  <c r="T60" i="6"/>
  <c r="O109" i="9"/>
  <c r="O110" i="9" s="1"/>
  <c r="O130" i="9" l="1"/>
  <c r="O72" i="9"/>
  <c r="O73" i="9" s="1"/>
  <c r="T62" i="6"/>
  <c r="CW109" i="6" l="1"/>
  <c r="CW98" i="6" s="1"/>
  <c r="CW99" i="6" s="1"/>
  <c r="CX109" i="6"/>
  <c r="CX98" i="6" s="1"/>
  <c r="CX99" i="6" s="1"/>
  <c r="CX45" i="5"/>
  <c r="CY45" i="5"/>
  <c r="BQ65" i="9"/>
  <c r="BR65" i="9"/>
  <c r="BR64" i="9" s="1"/>
  <c r="BR60" i="9" l="1"/>
  <c r="BS61" i="9" s="1"/>
  <c r="BR56" i="9"/>
  <c r="BS57" i="9" s="1"/>
  <c r="BR54" i="9"/>
  <c r="BQ54" i="9"/>
  <c r="BQ56" i="9"/>
  <c r="BQ60" i="9"/>
  <c r="BQ64" i="9"/>
  <c r="CX103" i="6"/>
  <c r="CX104" i="6" s="1"/>
  <c r="CW103" i="6"/>
  <c r="BR55" i="9" l="1"/>
  <c r="BS55" i="9"/>
  <c r="CW104" i="6"/>
  <c r="BQ61" i="9"/>
  <c r="BQ55" i="9"/>
  <c r="BR57" i="9"/>
  <c r="BR58" i="9"/>
  <c r="BS59" i="9" s="1"/>
  <c r="BQ57" i="9"/>
  <c r="BQ58" i="9"/>
  <c r="BR61" i="9"/>
  <c r="BR59" i="9" l="1"/>
  <c r="BQ59" i="9"/>
  <c r="CY109" i="6"/>
  <c r="T44" i="5"/>
  <c r="O64" i="9" s="1"/>
  <c r="O65" i="9" s="1"/>
  <c r="O60" i="9" s="1"/>
  <c r="F24" i="11" s="1"/>
  <c r="T45" i="5"/>
  <c r="O56" i="9"/>
  <c r="O57" i="9" l="1"/>
  <c r="O61" i="9"/>
  <c r="O58" i="9"/>
  <c r="CY103" i="6"/>
  <c r="CY98" i="6"/>
  <c r="F21" i="11" l="1"/>
  <c r="CY99" i="6"/>
  <c r="O59" i="9"/>
  <c r="O54" i="9"/>
  <c r="O55" i="9" s="1"/>
  <c r="CY104" i="6"/>
  <c r="T70" i="5"/>
  <c r="T69" i="5" l="1"/>
  <c r="T22" i="7"/>
  <c r="DC75" i="6" l="1"/>
  <c r="DB75" i="6"/>
  <c r="DB14" i="5" l="1"/>
  <c r="DA75" i="6"/>
  <c r="DC14" i="5"/>
  <c r="DA77" i="6" l="1"/>
  <c r="DA80" i="6" s="1"/>
  <c r="DA14" i="5"/>
  <c r="BU22" i="9"/>
  <c r="BV22" i="9"/>
  <c r="BU79" i="9" l="1"/>
  <c r="BV79" i="9"/>
  <c r="BV84" i="9"/>
  <c r="BT22" i="9"/>
  <c r="DA22" i="6"/>
  <c r="DB74" i="6"/>
  <c r="DB78" i="6"/>
  <c r="DB76" i="6"/>
  <c r="BT103" i="9"/>
  <c r="BT79" i="9" l="1"/>
  <c r="BT84" i="9"/>
  <c r="BU84" i="9"/>
  <c r="BT144" i="9"/>
  <c r="BT104" i="9"/>
  <c r="DB77" i="6"/>
  <c r="DB80" i="6" s="1"/>
  <c r="BU153" i="9"/>
  <c r="BU151" i="9" s="1"/>
  <c r="DA23" i="6"/>
  <c r="BT145" i="9" l="1"/>
  <c r="BT146" i="9"/>
  <c r="DA11" i="6"/>
  <c r="BU150" i="9"/>
  <c r="BU156" i="9" s="1"/>
  <c r="BU152" i="9"/>
  <c r="DB22" i="6"/>
  <c r="DC74" i="6"/>
  <c r="BU103" i="9"/>
  <c r="DC76" i="6"/>
  <c r="DC78" i="6"/>
  <c r="BV153" i="9" l="1"/>
  <c r="BV151" i="9" s="1"/>
  <c r="BU104" i="9"/>
  <c r="BU144" i="9"/>
  <c r="DB23" i="6"/>
  <c r="DC77" i="6"/>
  <c r="DC80" i="6" s="1"/>
  <c r="DA13" i="6"/>
  <c r="DA31" i="6" l="1"/>
  <c r="DC22" i="6"/>
  <c r="DD74" i="6"/>
  <c r="BV103" i="9"/>
  <c r="DD78" i="6"/>
  <c r="DD76" i="6"/>
  <c r="U76" i="6" s="1"/>
  <c r="U24" i="7" s="1"/>
  <c r="BU145" i="9"/>
  <c r="BU146" i="9"/>
  <c r="BV150" i="9"/>
  <c r="BV156" i="9" s="1"/>
  <c r="BV152" i="9"/>
  <c r="DB11" i="6"/>
  <c r="DB13" i="6" l="1"/>
  <c r="U78" i="6"/>
  <c r="BW153" i="9"/>
  <c r="U74" i="6"/>
  <c r="BV144" i="9"/>
  <c r="BV104" i="9"/>
  <c r="DC23" i="6"/>
  <c r="DA31" i="5"/>
  <c r="BT97" i="9"/>
  <c r="BT122" i="9"/>
  <c r="BT98" i="9" l="1"/>
  <c r="BT119" i="9"/>
  <c r="BT120" i="9"/>
  <c r="BT131" i="9"/>
  <c r="BT32" i="9"/>
  <c r="DC11" i="6"/>
  <c r="BV145" i="9"/>
  <c r="BV146" i="9"/>
  <c r="P153" i="9"/>
  <c r="DB31" i="6"/>
  <c r="BU97" i="9" l="1"/>
  <c r="DB31" i="5"/>
  <c r="DB28" i="5"/>
  <c r="BU122" i="9"/>
  <c r="DB29" i="5"/>
  <c r="BT18" i="10"/>
  <c r="BT92" i="9"/>
  <c r="BT13" i="10"/>
  <c r="BT14" i="10"/>
  <c r="BT17" i="10"/>
  <c r="BT74" i="9"/>
  <c r="BT132" i="9"/>
  <c r="BT25" i="10" s="1"/>
  <c r="BT11" i="10"/>
  <c r="DC13" i="6"/>
  <c r="DC31" i="6" l="1"/>
  <c r="BU29" i="9"/>
  <c r="BU32" i="9"/>
  <c r="BU98" i="9"/>
  <c r="BU119" i="9"/>
  <c r="BU120" i="9"/>
  <c r="BU131" i="9"/>
  <c r="DB32" i="5"/>
  <c r="BU28" i="9"/>
  <c r="DC28" i="5" l="1"/>
  <c r="BU13" i="10"/>
  <c r="BU14" i="10"/>
  <c r="BU17" i="10"/>
  <c r="BU74" i="9"/>
  <c r="BU132" i="9"/>
  <c r="BU25" i="10" s="1"/>
  <c r="BU11" i="10"/>
  <c r="BU15" i="10"/>
  <c r="BU77" i="9"/>
  <c r="BU16" i="10"/>
  <c r="BU18" i="10"/>
  <c r="BU92" i="9"/>
  <c r="BV97" i="9"/>
  <c r="DC31" i="5"/>
  <c r="DC29" i="5"/>
  <c r="BV122" i="9"/>
  <c r="BV29" i="9" l="1"/>
  <c r="DC32" i="5"/>
  <c r="BV28" i="9"/>
  <c r="BV32" i="9"/>
  <c r="BV98" i="9"/>
  <c r="BV119" i="9"/>
  <c r="BV120" i="9"/>
  <c r="BV131" i="9"/>
  <c r="BV8" i="10" l="1"/>
  <c r="BV13" i="10"/>
  <c r="BV14" i="10"/>
  <c r="BV17" i="10"/>
  <c r="BV74" i="9"/>
  <c r="BV132" i="9"/>
  <c r="BV25" i="10" s="1"/>
  <c r="BV11" i="10"/>
  <c r="BV18" i="10"/>
  <c r="BV92" i="9"/>
  <c r="BV15" i="10"/>
  <c r="BV77" i="9"/>
  <c r="BV86" i="9"/>
  <c r="BV16" i="10"/>
  <c r="DD71" i="6" l="1"/>
  <c r="DD69" i="6" s="1"/>
  <c r="DD19" i="6" s="1"/>
  <c r="BW99" i="9" l="1"/>
  <c r="BW133" i="9" s="1"/>
  <c r="BW134" i="9" s="1"/>
  <c r="U19" i="6"/>
  <c r="P99" i="9" s="1"/>
  <c r="DE71" i="6"/>
  <c r="BW100" i="9" l="1"/>
  <c r="BW141" i="9"/>
  <c r="DE69" i="6"/>
  <c r="DF71" i="6"/>
  <c r="P100" i="9"/>
  <c r="P133" i="9"/>
  <c r="P141" i="9"/>
  <c r="DE68" i="6" l="1"/>
  <c r="DE19" i="6"/>
  <c r="DG71" i="6"/>
  <c r="DF69" i="6"/>
  <c r="P134" i="9"/>
  <c r="DF19" i="6" l="1"/>
  <c r="DF68" i="6"/>
  <c r="BX99" i="9"/>
  <c r="DD68" i="6"/>
  <c r="DG69" i="6"/>
  <c r="DH71" i="6"/>
  <c r="DE21" i="6"/>
  <c r="BX142" i="9"/>
  <c r="DE67" i="6"/>
  <c r="BX154" i="9" l="1"/>
  <c r="BY149" i="9" s="1"/>
  <c r="DI71" i="6"/>
  <c r="DH69" i="6"/>
  <c r="DH19" i="6" s="1"/>
  <c r="BX100" i="9"/>
  <c r="BX133" i="9"/>
  <c r="BX134" i="9" s="1"/>
  <c r="BX141" i="9"/>
  <c r="BX143" i="9" s="1"/>
  <c r="BY142" i="9"/>
  <c r="BY154" i="9" s="1"/>
  <c r="DF67" i="6"/>
  <c r="DF21" i="6"/>
  <c r="BX101" i="9"/>
  <c r="DE20" i="6"/>
  <c r="DE51" i="5" s="1"/>
  <c r="DE57" i="5" s="1"/>
  <c r="BX113" i="9" s="1"/>
  <c r="DG68" i="6"/>
  <c r="DG19" i="6"/>
  <c r="DD21" i="6"/>
  <c r="U21" i="6" s="1"/>
  <c r="BW142" i="9"/>
  <c r="DD67" i="6"/>
  <c r="BY99" i="9"/>
  <c r="DH68" i="6" l="1"/>
  <c r="DH21" i="6" s="1"/>
  <c r="V21" i="6" s="1"/>
  <c r="BY155" i="9"/>
  <c r="BZ149" i="9"/>
  <c r="BY133" i="9"/>
  <c r="BY134" i="9" s="1"/>
  <c r="BY100" i="9"/>
  <c r="BY141" i="9"/>
  <c r="BY143" i="9" s="1"/>
  <c r="BW143" i="9"/>
  <c r="BW154" i="9"/>
  <c r="BZ99" i="9"/>
  <c r="BY101" i="9"/>
  <c r="BY102" i="9" s="1"/>
  <c r="DF20" i="6"/>
  <c r="DF51" i="5" s="1"/>
  <c r="DF57" i="5" s="1"/>
  <c r="V19" i="6"/>
  <c r="CA99" i="9"/>
  <c r="BW101" i="9"/>
  <c r="DD20" i="6"/>
  <c r="U68" i="6"/>
  <c r="U60" i="7"/>
  <c r="DG67" i="6"/>
  <c r="DG21" i="6"/>
  <c r="BZ142" i="9"/>
  <c r="BZ154" i="9" s="1"/>
  <c r="DJ71" i="6"/>
  <c r="DI69" i="6"/>
  <c r="DE75" i="6" l="1"/>
  <c r="DE14" i="5" s="1"/>
  <c r="DH67" i="6"/>
  <c r="CA101" i="9" s="1"/>
  <c r="CA142" i="9"/>
  <c r="CA154" i="9" s="1"/>
  <c r="DI19" i="6"/>
  <c r="DI68" i="6"/>
  <c r="DF75" i="6"/>
  <c r="DF14" i="5" s="1"/>
  <c r="CA149" i="9"/>
  <c r="BZ155" i="9"/>
  <c r="DG20" i="6"/>
  <c r="DG51" i="5" s="1"/>
  <c r="BZ101" i="9"/>
  <c r="BZ102" i="9" s="1"/>
  <c r="P142" i="9"/>
  <c r="BW102" i="9"/>
  <c r="BX102" i="9"/>
  <c r="CA141" i="9"/>
  <c r="CA100" i="9"/>
  <c r="DK71" i="6"/>
  <c r="DJ69" i="6"/>
  <c r="U20" i="6"/>
  <c r="DD51" i="5"/>
  <c r="DD57" i="5" s="1"/>
  <c r="Q99" i="9"/>
  <c r="DG75" i="6"/>
  <c r="DG14" i="5" s="1"/>
  <c r="BY113" i="9"/>
  <c r="DF58" i="5"/>
  <c r="BZ100" i="9"/>
  <c r="BZ133" i="9"/>
  <c r="BZ134" i="9" s="1"/>
  <c r="BZ141" i="9"/>
  <c r="BZ143" i="9" s="1"/>
  <c r="CA133" i="9"/>
  <c r="CA134" i="9" s="1"/>
  <c r="BX155" i="9"/>
  <c r="BW151" i="9"/>
  <c r="BX149" i="9"/>
  <c r="BW155" i="9"/>
  <c r="V60" i="7"/>
  <c r="V68" i="6"/>
  <c r="DG57" i="5" l="1"/>
  <c r="BZ113" i="9" s="1"/>
  <c r="DF59" i="5"/>
  <c r="DF60" i="5" s="1"/>
  <c r="DF11" i="5" s="1"/>
  <c r="BY17" i="9" s="1"/>
  <c r="BX22" i="9"/>
  <c r="BX79" i="9" s="1"/>
  <c r="DH20" i="6"/>
  <c r="DH51" i="5" s="1"/>
  <c r="DH57" i="5" s="1"/>
  <c r="BY22" i="9"/>
  <c r="BY84" i="9" s="1"/>
  <c r="CA143" i="9"/>
  <c r="DG58" i="5"/>
  <c r="BZ22" i="9"/>
  <c r="BW152" i="9"/>
  <c r="BW150" i="9"/>
  <c r="BW156" i="9" s="1"/>
  <c r="BY127" i="9"/>
  <c r="BY114" i="9"/>
  <c r="DD75" i="6"/>
  <c r="Q141" i="9"/>
  <c r="Q100" i="9"/>
  <c r="Q133" i="9"/>
  <c r="U67" i="6"/>
  <c r="U51" i="5"/>
  <c r="U57" i="5" s="1"/>
  <c r="DL71" i="6"/>
  <c r="DK69" i="6"/>
  <c r="P143" i="9"/>
  <c r="P154" i="9"/>
  <c r="DI67" i="6"/>
  <c r="DI21" i="6"/>
  <c r="CB142" i="9"/>
  <c r="CB154" i="9" s="1"/>
  <c r="CC149" i="9" s="1"/>
  <c r="BW113" i="9"/>
  <c r="DD58" i="5"/>
  <c r="DE58" i="5"/>
  <c r="DJ19" i="6"/>
  <c r="DJ68" i="6"/>
  <c r="DJ67" i="6" s="1"/>
  <c r="CB99" i="9"/>
  <c r="CB149" i="9"/>
  <c r="CA155" i="9"/>
  <c r="DJ75" i="6"/>
  <c r="V20" i="6"/>
  <c r="Q142" i="9"/>
  <c r="CA102" i="9"/>
  <c r="DK75" i="6"/>
  <c r="BZ114" i="9" l="1"/>
  <c r="BZ127" i="9"/>
  <c r="BY71" i="9"/>
  <c r="DG59" i="5"/>
  <c r="DG60" i="5" s="1"/>
  <c r="DG11" i="5" s="1"/>
  <c r="BZ17" i="9" s="1"/>
  <c r="BZ71" i="9" s="1"/>
  <c r="BY79" i="9"/>
  <c r="BZ84" i="9"/>
  <c r="BZ79" i="9"/>
  <c r="BZ128" i="9"/>
  <c r="CC101" i="9"/>
  <c r="DJ20" i="6"/>
  <c r="DJ51" i="5" s="1"/>
  <c r="DJ57" i="5" s="1"/>
  <c r="CB141" i="9"/>
  <c r="CB143" i="9" s="1"/>
  <c r="CB133" i="9"/>
  <c r="CB134" i="9" s="1"/>
  <c r="CB100" i="9"/>
  <c r="CC99" i="9"/>
  <c r="CB155" i="9"/>
  <c r="P151" i="9"/>
  <c r="Q149" i="9"/>
  <c r="P155" i="9"/>
  <c r="DM71" i="6"/>
  <c r="DL69" i="6"/>
  <c r="U69" i="6"/>
  <c r="U71" i="6" s="1"/>
  <c r="U61" i="7" s="1"/>
  <c r="P101" i="9"/>
  <c r="CC142" i="9"/>
  <c r="CC154" i="9" s="1"/>
  <c r="DJ21" i="6"/>
  <c r="BX127" i="9"/>
  <c r="BW127" i="9"/>
  <c r="BW128" i="9" s="1"/>
  <c r="BW114" i="9"/>
  <c r="BX114" i="9"/>
  <c r="CB101" i="9"/>
  <c r="CB102" i="9" s="1"/>
  <c r="DI20" i="6"/>
  <c r="DI51" i="5" s="1"/>
  <c r="DI57" i="5" s="1"/>
  <c r="DI58" i="5" s="1"/>
  <c r="DK19" i="6"/>
  <c r="DK68" i="6"/>
  <c r="V58" i="5"/>
  <c r="P113" i="9"/>
  <c r="Q134" i="9"/>
  <c r="DD14" i="5"/>
  <c r="DD77" i="6"/>
  <c r="DD80" i="6" s="1"/>
  <c r="U75" i="6"/>
  <c r="U77" i="6" s="1"/>
  <c r="V67" i="6"/>
  <c r="V51" i="5"/>
  <c r="V57" i="5" s="1"/>
  <c r="DJ14" i="5"/>
  <c r="CC22" i="9" s="1"/>
  <c r="DI75" i="6"/>
  <c r="DH75" i="6"/>
  <c r="DL75" i="6"/>
  <c r="DK14" i="5"/>
  <c r="CD22" i="9" s="1"/>
  <c r="Q143" i="9"/>
  <c r="Q154" i="9"/>
  <c r="CA113" i="9"/>
  <c r="DH58" i="5"/>
  <c r="U23" i="7" l="1"/>
  <c r="BW22" i="9"/>
  <c r="U14" i="5"/>
  <c r="CD99" i="9"/>
  <c r="BX128" i="9"/>
  <c r="BY128" i="9"/>
  <c r="CC155" i="9"/>
  <c r="CD149" i="9"/>
  <c r="P102" i="9"/>
  <c r="DL68" i="6"/>
  <c r="DL67" i="6" s="1"/>
  <c r="DL19" i="6"/>
  <c r="P150" i="9"/>
  <c r="P152" i="9"/>
  <c r="CC141" i="9"/>
  <c r="CC143" i="9" s="1"/>
  <c r="CC100" i="9"/>
  <c r="CC133" i="9"/>
  <c r="CC134" i="9" s="1"/>
  <c r="CC113" i="9"/>
  <c r="DD22" i="6"/>
  <c r="DE76" i="6"/>
  <c r="DE77" i="6" s="1"/>
  <c r="U80" i="6"/>
  <c r="DE74" i="6"/>
  <c r="DE78" i="6"/>
  <c r="BW103" i="9"/>
  <c r="P127" i="9"/>
  <c r="P114" i="9"/>
  <c r="DK67" i="6"/>
  <c r="DK21" i="6"/>
  <c r="CD142" i="9"/>
  <c r="CB113" i="9"/>
  <c r="DJ58" i="5"/>
  <c r="DN71" i="6"/>
  <c r="DM69" i="6"/>
  <c r="CC102" i="9"/>
  <c r="DL14" i="5"/>
  <c r="CE22" i="9" s="1"/>
  <c r="DH14" i="5"/>
  <c r="V75" i="6"/>
  <c r="W75" i="6"/>
  <c r="DI14" i="5"/>
  <c r="Q113" i="9"/>
  <c r="W58" i="5"/>
  <c r="CA114" i="9"/>
  <c r="CA127" i="9"/>
  <c r="CA128" i="9" s="1"/>
  <c r="CD84" i="9"/>
  <c r="R149" i="9"/>
  <c r="Q155" i="9"/>
  <c r="DM75" i="6"/>
  <c r="V69" i="6"/>
  <c r="Q101" i="9"/>
  <c r="DI59" i="5" l="1"/>
  <c r="DI60" i="5" s="1"/>
  <c r="DE59" i="5"/>
  <c r="DE60" i="5" s="1"/>
  <c r="DE11" i="5" s="1"/>
  <c r="BX17" i="9" s="1"/>
  <c r="BX71" i="9" s="1"/>
  <c r="CC79" i="9"/>
  <c r="CC127" i="9"/>
  <c r="CB114" i="9"/>
  <c r="CB127" i="9"/>
  <c r="CB128" i="9" s="1"/>
  <c r="DM19" i="6"/>
  <c r="DM68" i="6"/>
  <c r="DM67" i="6" s="1"/>
  <c r="CD154" i="9"/>
  <c r="CD101" i="9"/>
  <c r="CD102" i="9" s="1"/>
  <c r="DK20" i="6"/>
  <c r="DK51" i="5" s="1"/>
  <c r="DK57" i="5" s="1"/>
  <c r="P128" i="9"/>
  <c r="BW144" i="9"/>
  <c r="BW104" i="9"/>
  <c r="DE80" i="6"/>
  <c r="W19" i="6"/>
  <c r="CE99" i="9"/>
  <c r="CE133" i="9" s="1"/>
  <c r="CD133" i="9"/>
  <c r="CD141" i="9"/>
  <c r="CD143" i="9" s="1"/>
  <c r="CD100" i="9"/>
  <c r="DN69" i="6"/>
  <c r="DO71" i="6"/>
  <c r="BX153" i="9"/>
  <c r="BX151" i="9" s="1"/>
  <c r="P103" i="9"/>
  <c r="DD23" i="6"/>
  <c r="U22" i="6"/>
  <c r="CC114" i="9"/>
  <c r="P156" i="9"/>
  <c r="DL20" i="6"/>
  <c r="CE101" i="9"/>
  <c r="DL21" i="6"/>
  <c r="W21" i="6" s="1"/>
  <c r="CE142" i="9"/>
  <c r="CE154" i="9" s="1"/>
  <c r="P22" i="9"/>
  <c r="BW79" i="9"/>
  <c r="BX84" i="9"/>
  <c r="BW84" i="9"/>
  <c r="DN75" i="6"/>
  <c r="DN14" i="5" s="1"/>
  <c r="CG22" i="9" s="1"/>
  <c r="Q102" i="9"/>
  <c r="CA22" i="9"/>
  <c r="V14" i="5"/>
  <c r="CE84" i="9"/>
  <c r="DM14" i="5"/>
  <c r="V71" i="6"/>
  <c r="Q114" i="9"/>
  <c r="Q127" i="9"/>
  <c r="W14" i="5"/>
  <c r="CB22" i="9"/>
  <c r="CC128" i="9" l="1"/>
  <c r="CE102" i="9"/>
  <c r="CE134" i="9"/>
  <c r="CE79" i="9"/>
  <c r="CE155" i="9"/>
  <c r="CF149" i="9"/>
  <c r="DD11" i="6"/>
  <c r="DN19" i="6"/>
  <c r="DN68" i="6"/>
  <c r="DE22" i="6"/>
  <c r="BX103" i="9"/>
  <c r="DF78" i="6"/>
  <c r="DF74" i="6"/>
  <c r="DF76" i="6"/>
  <c r="DF77" i="6" s="1"/>
  <c r="BW145" i="9"/>
  <c r="BW146" i="9"/>
  <c r="CF142" i="9"/>
  <c r="CF154" i="9" s="1"/>
  <c r="DM21" i="6"/>
  <c r="P84" i="9"/>
  <c r="P79" i="9"/>
  <c r="W68" i="6"/>
  <c r="W60" i="7"/>
  <c r="DL51" i="5"/>
  <c r="DL57" i="5" s="1"/>
  <c r="CE113" i="9" s="1"/>
  <c r="W20" i="6"/>
  <c r="U23" i="6"/>
  <c r="P144" i="9"/>
  <c r="P104" i="9"/>
  <c r="BX150" i="9"/>
  <c r="BX156" i="9" s="1"/>
  <c r="BX152" i="9"/>
  <c r="DO69" i="6"/>
  <c r="DP71" i="6"/>
  <c r="DO75" i="6"/>
  <c r="CD134" i="9"/>
  <c r="CD79" i="9"/>
  <c r="CE100" i="9"/>
  <c r="CE141" i="9"/>
  <c r="CE143" i="9" s="1"/>
  <c r="R99" i="9"/>
  <c r="CD113" i="9"/>
  <c r="DK58" i="5"/>
  <c r="CE149" i="9"/>
  <c r="CD155" i="9"/>
  <c r="DM20" i="6"/>
  <c r="DM51" i="5" s="1"/>
  <c r="DM57" i="5" s="1"/>
  <c r="CF101" i="9"/>
  <c r="CF102" i="9" s="1"/>
  <c r="CF99" i="9"/>
  <c r="CF133" i="9" s="1"/>
  <c r="CF134" i="9" s="1"/>
  <c r="Q128" i="9"/>
  <c r="CF22" i="9"/>
  <c r="CA79" i="9"/>
  <c r="CA84" i="9"/>
  <c r="DI11" i="5"/>
  <c r="CB84" i="9"/>
  <c r="CB79" i="9"/>
  <c r="CC84" i="9"/>
  <c r="R22" i="9"/>
  <c r="Q22" i="9"/>
  <c r="DJ59" i="5" l="1"/>
  <c r="DJ60" i="5" s="1"/>
  <c r="DJ11" i="5" s="1"/>
  <c r="CC17" i="9" s="1"/>
  <c r="CC71" i="9" s="1"/>
  <c r="DL58" i="5"/>
  <c r="DM58" i="5"/>
  <c r="CF113" i="9"/>
  <c r="R141" i="9"/>
  <c r="R100" i="9"/>
  <c r="R133" i="9"/>
  <c r="R79" i="9" s="1"/>
  <c r="DQ71" i="6"/>
  <c r="DP69" i="6"/>
  <c r="DP75" i="6"/>
  <c r="DP14" i="5" s="1"/>
  <c r="CI22" i="9" s="1"/>
  <c r="CE114" i="9"/>
  <c r="R142" i="9"/>
  <c r="DF80" i="6"/>
  <c r="BY153" i="9"/>
  <c r="BY151" i="9" s="1"/>
  <c r="DE23" i="6"/>
  <c r="CG99" i="9"/>
  <c r="DD13" i="6"/>
  <c r="U11" i="6"/>
  <c r="U13" i="6" s="1"/>
  <c r="CF100" i="9"/>
  <c r="CF141" i="9"/>
  <c r="CF143" i="9" s="1"/>
  <c r="CD114" i="9"/>
  <c r="CD127" i="9"/>
  <c r="CD128" i="9" s="1"/>
  <c r="CE127" i="9"/>
  <c r="DO14" i="5"/>
  <c r="DO19" i="6"/>
  <c r="DO68" i="6"/>
  <c r="P145" i="9"/>
  <c r="P146" i="9"/>
  <c r="W51" i="5"/>
  <c r="W57" i="5" s="1"/>
  <c r="W67" i="6"/>
  <c r="CG149" i="9"/>
  <c r="CF155" i="9"/>
  <c r="BX144" i="9"/>
  <c r="BX104" i="9"/>
  <c r="DN67" i="6"/>
  <c r="DN21" i="6"/>
  <c r="CG142" i="9"/>
  <c r="CG154" i="9" s="1"/>
  <c r="CF84" i="9"/>
  <c r="CF79" i="9"/>
  <c r="CG84" i="9"/>
  <c r="Q84" i="9"/>
  <c r="Q79" i="9"/>
  <c r="R84" i="9"/>
  <c r="CB17" i="9"/>
  <c r="X75" i="6" l="1"/>
  <c r="U31" i="6"/>
  <c r="W69" i="6"/>
  <c r="W71" i="6" s="1"/>
  <c r="R101" i="9"/>
  <c r="CH99" i="9"/>
  <c r="CH22" i="9"/>
  <c r="CH84" i="9" s="1"/>
  <c r="X14" i="5"/>
  <c r="CG141" i="9"/>
  <c r="CG143" i="9" s="1"/>
  <c r="CG100" i="9"/>
  <c r="DF22" i="6"/>
  <c r="BY103" i="9"/>
  <c r="DG76" i="6"/>
  <c r="DG77" i="6" s="1"/>
  <c r="DG74" i="6"/>
  <c r="DG78" i="6"/>
  <c r="R154" i="9"/>
  <c r="R143" i="9"/>
  <c r="DP68" i="6"/>
  <c r="DP67" i="6" s="1"/>
  <c r="DP19" i="6"/>
  <c r="R134" i="9"/>
  <c r="CG155" i="9"/>
  <c r="CH149" i="9"/>
  <c r="DN20" i="6"/>
  <c r="DN51" i="5" s="1"/>
  <c r="DN57" i="5" s="1"/>
  <c r="CG101" i="9"/>
  <c r="CG102" i="9" s="1"/>
  <c r="BX145" i="9"/>
  <c r="BX146" i="9"/>
  <c r="R113" i="9"/>
  <c r="X58" i="5"/>
  <c r="DO67" i="6"/>
  <c r="CH142" i="9"/>
  <c r="CH154" i="9" s="1"/>
  <c r="DO21" i="6"/>
  <c r="CE128" i="9"/>
  <c r="CG133" i="9"/>
  <c r="DD31" i="6"/>
  <c r="DE11" i="6"/>
  <c r="DE13" i="6" s="1"/>
  <c r="DE31" i="6" s="1"/>
  <c r="BY152" i="9"/>
  <c r="BY150" i="9"/>
  <c r="BY156" i="9" s="1"/>
  <c r="DR71" i="6"/>
  <c r="DQ69" i="6"/>
  <c r="DQ75" i="6"/>
  <c r="DQ14" i="5" s="1"/>
  <c r="CJ22" i="9" s="1"/>
  <c r="CJ84" i="9" s="1"/>
  <c r="CF114" i="9"/>
  <c r="CF127" i="9"/>
  <c r="CF128" i="9" s="1"/>
  <c r="CB71" i="9"/>
  <c r="DK59" i="5" l="1"/>
  <c r="DK60" i="5" s="1"/>
  <c r="DK11" i="5" s="1"/>
  <c r="CD17" i="9" s="1"/>
  <c r="CD71" i="9" s="1"/>
  <c r="U52" i="7"/>
  <c r="P122" i="9"/>
  <c r="P97" i="9"/>
  <c r="CI84" i="9"/>
  <c r="DS71" i="6"/>
  <c r="DR75" i="6"/>
  <c r="DR14" i="5" s="1"/>
  <c r="CK22" i="9" s="1"/>
  <c r="CK84" i="9" s="1"/>
  <c r="DR69" i="6"/>
  <c r="CG134" i="9"/>
  <c r="CG79" i="9"/>
  <c r="CH101" i="9"/>
  <c r="CH102" i="9" s="1"/>
  <c r="DO20" i="6"/>
  <c r="DO51" i="5" s="1"/>
  <c r="DO57" i="5" s="1"/>
  <c r="R114" i="9"/>
  <c r="R127" i="9"/>
  <c r="CG113" i="9"/>
  <c r="DN58" i="5"/>
  <c r="X19" i="6"/>
  <c r="CI99" i="9"/>
  <c r="CI133" i="9" s="1"/>
  <c r="BY144" i="9"/>
  <c r="BY104" i="9"/>
  <c r="R102" i="9"/>
  <c r="DQ68" i="6"/>
  <c r="DQ67" i="6" s="1"/>
  <c r="DQ19" i="6"/>
  <c r="BW97" i="9"/>
  <c r="DD31" i="5"/>
  <c r="BW122" i="9"/>
  <c r="CH155" i="9"/>
  <c r="CI149" i="9"/>
  <c r="DP20" i="6"/>
  <c r="CI101" i="9"/>
  <c r="DP21" i="6"/>
  <c r="X21" i="6" s="1"/>
  <c r="CI142" i="9"/>
  <c r="CI154" i="9" s="1"/>
  <c r="R155" i="9"/>
  <c r="S149" i="9"/>
  <c r="BZ153" i="9"/>
  <c r="BZ151" i="9" s="1"/>
  <c r="DG80" i="6"/>
  <c r="DF23" i="6"/>
  <c r="S22" i="9"/>
  <c r="CH133" i="9"/>
  <c r="CH100" i="9"/>
  <c r="CH141" i="9"/>
  <c r="CH143" i="9" s="1"/>
  <c r="BX97" i="9"/>
  <c r="BX122" i="9"/>
  <c r="DE31" i="5"/>
  <c r="DM59" i="5" l="1"/>
  <c r="DM60" i="5" s="1"/>
  <c r="DM11" i="5" s="1"/>
  <c r="CF17" i="9" s="1"/>
  <c r="CF71" i="9" s="1"/>
  <c r="P119" i="9"/>
  <c r="P120" i="9"/>
  <c r="P131" i="9"/>
  <c r="P132" i="9" s="1"/>
  <c r="P98" i="9"/>
  <c r="CI102" i="9"/>
  <c r="CI134" i="9"/>
  <c r="CI79" i="9"/>
  <c r="CH79" i="9"/>
  <c r="CH134" i="9"/>
  <c r="S84" i="9"/>
  <c r="BZ150" i="9"/>
  <c r="BZ156" i="9" s="1"/>
  <c r="BZ152" i="9"/>
  <c r="X60" i="7"/>
  <c r="X68" i="6"/>
  <c r="DP51" i="5"/>
  <c r="DP57" i="5" s="1"/>
  <c r="X20" i="6"/>
  <c r="DQ20" i="6"/>
  <c r="DQ51" i="5" s="1"/>
  <c r="DQ57" i="5" s="1"/>
  <c r="CJ113" i="9" s="1"/>
  <c r="CJ101" i="9"/>
  <c r="CJ102" i="9" s="1"/>
  <c r="CJ142" i="9"/>
  <c r="CJ154" i="9" s="1"/>
  <c r="DQ21" i="6"/>
  <c r="BY146" i="9"/>
  <c r="BY145" i="9"/>
  <c r="CI100" i="9"/>
  <c r="CI141" i="9"/>
  <c r="CI143" i="9" s="1"/>
  <c r="S99" i="9"/>
  <c r="R128" i="9"/>
  <c r="DF11" i="6"/>
  <c r="DF13" i="6" s="1"/>
  <c r="DH74" i="6"/>
  <c r="V74" i="6" s="1"/>
  <c r="DH78" i="6"/>
  <c r="DG22" i="6"/>
  <c r="BZ103" i="9"/>
  <c r="DH76" i="6"/>
  <c r="CJ149" i="9"/>
  <c r="CI155" i="9"/>
  <c r="U31" i="5"/>
  <c r="BW32" i="9"/>
  <c r="BW98" i="9"/>
  <c r="BW131" i="9"/>
  <c r="BW120" i="9"/>
  <c r="BW119" i="9"/>
  <c r="CJ99" i="9"/>
  <c r="CG114" i="9"/>
  <c r="CG127" i="9"/>
  <c r="CG128" i="9" s="1"/>
  <c r="DO58" i="5"/>
  <c r="CH113" i="9"/>
  <c r="CH114" i="9" s="1"/>
  <c r="DR19" i="6"/>
  <c r="DR68" i="6"/>
  <c r="DR67" i="6" s="1"/>
  <c r="DT71" i="6"/>
  <c r="DS69" i="6"/>
  <c r="DS75" i="6"/>
  <c r="BX98" i="9"/>
  <c r="BX120" i="9"/>
  <c r="BX119" i="9"/>
  <c r="BX131" i="9"/>
  <c r="BX32" i="9"/>
  <c r="DO59" i="5" l="1"/>
  <c r="DO60" i="5" s="1"/>
  <c r="DO11" i="5" s="1"/>
  <c r="CH17" i="9" s="1"/>
  <c r="P11" i="10"/>
  <c r="P17" i="10"/>
  <c r="P74" i="9"/>
  <c r="P14" i="10"/>
  <c r="P13" i="10"/>
  <c r="DF31" i="6"/>
  <c r="CK101" i="9"/>
  <c r="CK102" i="9" s="1"/>
  <c r="DR20" i="6"/>
  <c r="DR51" i="5" s="1"/>
  <c r="DR57" i="5" s="1"/>
  <c r="DS68" i="6"/>
  <c r="DS19" i="6"/>
  <c r="DS67" i="6"/>
  <c r="CK99" i="9"/>
  <c r="CH127" i="9"/>
  <c r="CH128" i="9" s="1"/>
  <c r="CJ133" i="9"/>
  <c r="CJ141" i="9"/>
  <c r="CJ143" i="9" s="1"/>
  <c r="CJ100" i="9"/>
  <c r="U41" i="7"/>
  <c r="P32" i="9"/>
  <c r="V76" i="6"/>
  <c r="DH77" i="6"/>
  <c r="DH80" i="6" s="1"/>
  <c r="DG23" i="6"/>
  <c r="S100" i="9"/>
  <c r="S133" i="9"/>
  <c r="S141" i="9"/>
  <c r="X67" i="6"/>
  <c r="X51" i="5"/>
  <c r="X57" i="5" s="1"/>
  <c r="S142" i="9"/>
  <c r="DS14" i="5"/>
  <c r="DT75" i="6"/>
  <c r="DT14" i="5" s="1"/>
  <c r="CM22" i="9" s="1"/>
  <c r="DU71" i="6"/>
  <c r="DT69" i="6"/>
  <c r="DR21" i="6"/>
  <c r="CK142" i="9"/>
  <c r="CK154" i="9" s="1"/>
  <c r="BW17" i="10"/>
  <c r="BW13" i="10"/>
  <c r="BW14" i="10"/>
  <c r="BW74" i="9"/>
  <c r="BW132" i="9"/>
  <c r="BW25" i="10" s="1"/>
  <c r="BW11" i="10"/>
  <c r="BW92" i="9"/>
  <c r="BW18" i="10"/>
  <c r="BZ104" i="9"/>
  <c r="BZ144" i="9"/>
  <c r="CA153" i="9"/>
  <c r="CA151" i="9" s="1"/>
  <c r="V78" i="6"/>
  <c r="CK149" i="9"/>
  <c r="CJ155" i="9"/>
  <c r="DQ58" i="5"/>
  <c r="DP58" i="5"/>
  <c r="CI113" i="9"/>
  <c r="P25" i="10"/>
  <c r="BX14" i="10"/>
  <c r="BX13" i="10"/>
  <c r="BX17" i="10"/>
  <c r="BX74" i="9"/>
  <c r="BX132" i="9"/>
  <c r="BX25" i="10" s="1"/>
  <c r="BX11" i="10"/>
  <c r="BX8" i="10"/>
  <c r="BX18" i="10"/>
  <c r="BX92" i="9"/>
  <c r="DF28" i="5" l="1"/>
  <c r="DN59" i="5"/>
  <c r="DN60" i="5" s="1"/>
  <c r="DN11" i="5" s="1"/>
  <c r="CG17" i="9" s="1"/>
  <c r="CG71" i="9" s="1"/>
  <c r="BY122" i="9"/>
  <c r="DF29" i="5"/>
  <c r="BY29" i="9" s="1"/>
  <c r="DF31" i="5"/>
  <c r="BY97" i="9"/>
  <c r="BY98" i="9" s="1"/>
  <c r="CH71" i="9"/>
  <c r="CJ114" i="9"/>
  <c r="CI127" i="9"/>
  <c r="CI128" i="9" s="1"/>
  <c r="CI114" i="9"/>
  <c r="CJ127" i="9"/>
  <c r="CJ128" i="9" s="1"/>
  <c r="V61" i="7"/>
  <c r="Q153" i="9"/>
  <c r="CA152" i="9"/>
  <c r="CA150" i="9"/>
  <c r="CA156" i="9" s="1"/>
  <c r="DV71" i="6"/>
  <c r="DU69" i="6"/>
  <c r="DU75" i="6"/>
  <c r="DU14" i="5" s="1"/>
  <c r="CN22" i="9" s="1"/>
  <c r="CN84" i="9" s="1"/>
  <c r="Y75" i="6"/>
  <c r="X69" i="6"/>
  <c r="X71" i="6" s="1"/>
  <c r="S101" i="9"/>
  <c r="S79" i="9"/>
  <c r="S134" i="9"/>
  <c r="DI74" i="6"/>
  <c r="CA103" i="9"/>
  <c r="DI78" i="6"/>
  <c r="CB153" i="9" s="1"/>
  <c r="CB151" i="9" s="1"/>
  <c r="CB150" i="9" s="1"/>
  <c r="CB156" i="9" s="1"/>
  <c r="DH22" i="6"/>
  <c r="V80" i="6"/>
  <c r="DI76" i="6"/>
  <c r="DI77" i="6" s="1"/>
  <c r="CK133" i="9"/>
  <c r="CK100" i="9"/>
  <c r="CK141" i="9"/>
  <c r="CK143" i="9" s="1"/>
  <c r="CL99" i="9"/>
  <c r="DR58" i="5"/>
  <c r="CK113" i="9"/>
  <c r="BZ145" i="9"/>
  <c r="BZ146" i="9"/>
  <c r="CK155" i="9"/>
  <c r="CL149" i="9"/>
  <c r="DT19" i="6"/>
  <c r="DT68" i="6"/>
  <c r="DT67" i="6" s="1"/>
  <c r="CL22" i="9"/>
  <c r="CM84" i="9" s="1"/>
  <c r="Y14" i="5"/>
  <c r="T22" i="9" s="1"/>
  <c r="S154" i="9"/>
  <c r="S143" i="9"/>
  <c r="S113" i="9"/>
  <c r="Y58" i="5"/>
  <c r="DG11" i="6"/>
  <c r="DG13" i="6" s="1"/>
  <c r="V24" i="7"/>
  <c r="V77" i="6"/>
  <c r="V23" i="7" s="1"/>
  <c r="P18" i="10"/>
  <c r="P92" i="9"/>
  <c r="CJ134" i="9"/>
  <c r="CJ79" i="9"/>
  <c r="DS20" i="6"/>
  <c r="DS51" i="5" s="1"/>
  <c r="DS57" i="5" s="1"/>
  <c r="CL113" i="9" s="1"/>
  <c r="CL101" i="9"/>
  <c r="CL102" i="9" s="1"/>
  <c r="CL142" i="9"/>
  <c r="CL154" i="9" s="1"/>
  <c r="DS21" i="6"/>
  <c r="DR59" i="5" l="1"/>
  <c r="DR60" i="5" s="1"/>
  <c r="DR11" i="5" s="1"/>
  <c r="CK17" i="9" s="1"/>
  <c r="BY131" i="9"/>
  <c r="BY16" i="10" s="1"/>
  <c r="BY28" i="9"/>
  <c r="BY120" i="9"/>
  <c r="BY119" i="9"/>
  <c r="DF32" i="5"/>
  <c r="BY32" i="9"/>
  <c r="BY92" i="9" s="1"/>
  <c r="CL127" i="9"/>
  <c r="CL114" i="9"/>
  <c r="CB152" i="9"/>
  <c r="DG31" i="6"/>
  <c r="S114" i="9"/>
  <c r="S127" i="9"/>
  <c r="S155" i="9"/>
  <c r="T149" i="9"/>
  <c r="T84" i="9"/>
  <c r="DT21" i="6"/>
  <c r="Y21" i="6" s="1"/>
  <c r="CM142" i="9"/>
  <c r="CK127" i="9"/>
  <c r="CK128" i="9" s="1"/>
  <c r="CK114" i="9"/>
  <c r="DI80" i="6"/>
  <c r="V22" i="6"/>
  <c r="DH23" i="6"/>
  <c r="CA104" i="9"/>
  <c r="CA144" i="9"/>
  <c r="DV69" i="6"/>
  <c r="DV75" i="6"/>
  <c r="DV14" i="5" s="1"/>
  <c r="CO22" i="9" s="1"/>
  <c r="CO84" i="9" s="1"/>
  <c r="DW71" i="6"/>
  <c r="CM149" i="9"/>
  <c r="CL155" i="9"/>
  <c r="CL84" i="9"/>
  <c r="DT20" i="6"/>
  <c r="CM101" i="9"/>
  <c r="CM102" i="9" s="1"/>
  <c r="Y19" i="6"/>
  <c r="T99" i="9" s="1"/>
  <c r="CM99" i="9"/>
  <c r="DS58" i="5"/>
  <c r="CL100" i="9"/>
  <c r="CL141" i="9"/>
  <c r="CL143" i="9" s="1"/>
  <c r="CL133" i="9"/>
  <c r="CL134" i="9" s="1"/>
  <c r="CK134" i="9"/>
  <c r="CK79" i="9"/>
  <c r="Q103" i="9"/>
  <c r="S102" i="9"/>
  <c r="DU19" i="6"/>
  <c r="DU68" i="6"/>
  <c r="Q151" i="9"/>
  <c r="CK71" i="9" l="1"/>
  <c r="BY132" i="9"/>
  <c r="BY25" i="10" s="1"/>
  <c r="DS59" i="5"/>
  <c r="DS60" i="5" s="1"/>
  <c r="DS11" i="5" s="1"/>
  <c r="CL17" i="9" s="1"/>
  <c r="CL71" i="9" s="1"/>
  <c r="DQ59" i="5"/>
  <c r="DQ60" i="5" s="1"/>
  <c r="DQ11" i="5" s="1"/>
  <c r="CJ17" i="9" s="1"/>
  <c r="CJ71" i="9" s="1"/>
  <c r="BY8" i="10"/>
  <c r="BY17" i="10"/>
  <c r="BY15" i="10"/>
  <c r="BY11" i="10"/>
  <c r="BY74" i="9"/>
  <c r="BY14" i="10"/>
  <c r="BY13" i="10"/>
  <c r="BY18" i="10"/>
  <c r="BY77" i="9"/>
  <c r="BZ122" i="9"/>
  <c r="DG29" i="5"/>
  <c r="BZ29" i="9" s="1"/>
  <c r="DG28" i="5"/>
  <c r="DG31" i="5"/>
  <c r="BZ32" i="9" s="1"/>
  <c r="BZ97" i="9"/>
  <c r="BZ98" i="9" s="1"/>
  <c r="Q150" i="9"/>
  <c r="Q152" i="9"/>
  <c r="CN99" i="9"/>
  <c r="CN133" i="9" s="1"/>
  <c r="CM133" i="9"/>
  <c r="CM100" i="9"/>
  <c r="CM141" i="9"/>
  <c r="CM143" i="9" s="1"/>
  <c r="CL128" i="9"/>
  <c r="CA145" i="9"/>
  <c r="CA146" i="9"/>
  <c r="DI22" i="6"/>
  <c r="DI23" i="6" s="1"/>
  <c r="CB103" i="9"/>
  <c r="DJ78" i="6"/>
  <c r="CC153" i="9" s="1"/>
  <c r="CC151" i="9" s="1"/>
  <c r="CC152" i="9" s="1"/>
  <c r="DJ74" i="6"/>
  <c r="DJ76" i="6"/>
  <c r="DJ77" i="6" s="1"/>
  <c r="CM154" i="9"/>
  <c r="DU67" i="6"/>
  <c r="CN142" i="9"/>
  <c r="CN154" i="9" s="1"/>
  <c r="DU21" i="6"/>
  <c r="Q144" i="9"/>
  <c r="Q104" i="9"/>
  <c r="T100" i="9"/>
  <c r="T133" i="9"/>
  <c r="T141" i="9"/>
  <c r="DT51" i="5"/>
  <c r="DT57" i="5" s="1"/>
  <c r="Y20" i="6"/>
  <c r="CL79" i="9"/>
  <c r="DX71" i="6"/>
  <c r="DW69" i="6"/>
  <c r="DW75" i="6"/>
  <c r="DV68" i="6"/>
  <c r="DV19" i="6"/>
  <c r="DH11" i="6"/>
  <c r="V23" i="6"/>
  <c r="Y60" i="7"/>
  <c r="Y68" i="6"/>
  <c r="T142" i="9" s="1"/>
  <c r="S128" i="9"/>
  <c r="BZ131" i="9" l="1"/>
  <c r="BZ18" i="10" s="1"/>
  <c r="CC150" i="9"/>
  <c r="CC156" i="9" s="1"/>
  <c r="BZ28" i="9"/>
  <c r="BZ120" i="9"/>
  <c r="BZ119" i="9"/>
  <c r="DG32" i="5"/>
  <c r="CN134" i="9"/>
  <c r="CN79" i="9"/>
  <c r="T154" i="9"/>
  <c r="T143" i="9"/>
  <c r="DH13" i="6"/>
  <c r="V11" i="6"/>
  <c r="V13" i="6" s="1"/>
  <c r="CO99" i="9"/>
  <c r="DW14" i="5"/>
  <c r="DX69" i="6"/>
  <c r="DX75" i="6"/>
  <c r="DX14" i="5" s="1"/>
  <c r="CQ22" i="9" s="1"/>
  <c r="Y67" i="6"/>
  <c r="Y51" i="5"/>
  <c r="Y57" i="5" s="1"/>
  <c r="CN155" i="9"/>
  <c r="CO149" i="9"/>
  <c r="CM155" i="9"/>
  <c r="CN149" i="9"/>
  <c r="DJ80" i="6"/>
  <c r="DI11" i="6"/>
  <c r="DI13" i="6" s="1"/>
  <c r="DI31" i="6" s="1"/>
  <c r="Q156" i="9"/>
  <c r="DV67" i="6"/>
  <c r="CO142" i="9"/>
  <c r="CO154" i="9" s="1"/>
  <c r="DV21" i="6"/>
  <c r="DW68" i="6"/>
  <c r="DW67" i="6" s="1"/>
  <c r="DW19" i="6"/>
  <c r="CM113" i="9"/>
  <c r="DT58" i="5"/>
  <c r="T134" i="9"/>
  <c r="T79" i="9"/>
  <c r="Q145" i="9"/>
  <c r="Q146" i="9"/>
  <c r="DU20" i="6"/>
  <c r="DU51" i="5" s="1"/>
  <c r="DU57" i="5" s="1"/>
  <c r="CN113" i="9" s="1"/>
  <c r="CN101" i="9"/>
  <c r="CN102" i="9" s="1"/>
  <c r="CB104" i="9"/>
  <c r="CB144" i="9"/>
  <c r="CM134" i="9"/>
  <c r="CM79" i="9"/>
  <c r="CN100" i="9"/>
  <c r="CN141" i="9"/>
  <c r="CN143" i="9" s="1"/>
  <c r="BZ92" i="9"/>
  <c r="BZ17" i="10" l="1"/>
  <c r="BZ15" i="10"/>
  <c r="CB122" i="9"/>
  <c r="BZ11" i="10"/>
  <c r="V31" i="6"/>
  <c r="BZ132" i="9"/>
  <c r="BZ25" i="10" s="1"/>
  <c r="BZ14" i="10"/>
  <c r="BZ16" i="10"/>
  <c r="BZ8" i="10"/>
  <c r="BZ74" i="9"/>
  <c r="BZ13" i="10"/>
  <c r="BZ77" i="9"/>
  <c r="BZ86" i="9"/>
  <c r="CB97" i="9"/>
  <c r="CB120" i="9" s="1"/>
  <c r="CB145" i="9"/>
  <c r="CB146" i="9"/>
  <c r="CM114" i="9"/>
  <c r="CN127" i="9"/>
  <c r="CM127" i="9"/>
  <c r="CM128" i="9" s="1"/>
  <c r="CP99" i="9"/>
  <c r="CP133" i="9" s="1"/>
  <c r="CO101" i="9"/>
  <c r="CO102" i="9" s="1"/>
  <c r="DV20" i="6"/>
  <c r="DV51" i="5" s="1"/>
  <c r="DV57" i="5" s="1"/>
  <c r="Z58" i="5"/>
  <c r="T113" i="9"/>
  <c r="Z75" i="6"/>
  <c r="CO133" i="9"/>
  <c r="CO100" i="9"/>
  <c r="CO141" i="9"/>
  <c r="CO143" i="9" s="1"/>
  <c r="DH31" i="6"/>
  <c r="U149" i="9"/>
  <c r="T155" i="9"/>
  <c r="CN114" i="9"/>
  <c r="DU58" i="5"/>
  <c r="CP101" i="9"/>
  <c r="DW20" i="6"/>
  <c r="DW51" i="5" s="1"/>
  <c r="DW57" i="5" s="1"/>
  <c r="CP113" i="9" s="1"/>
  <c r="DW21" i="6"/>
  <c r="CP142" i="9"/>
  <c r="CP149" i="9"/>
  <c r="CO155" i="9"/>
  <c r="DK74" i="6"/>
  <c r="DK76" i="6"/>
  <c r="DK77" i="6" s="1"/>
  <c r="DJ22" i="6"/>
  <c r="DJ23" i="6" s="1"/>
  <c r="CC103" i="9"/>
  <c r="DK78" i="6"/>
  <c r="CD153" i="9" s="1"/>
  <c r="CD151" i="9" s="1"/>
  <c r="CD152" i="9" s="1"/>
  <c r="T101" i="9"/>
  <c r="Y69" i="6"/>
  <c r="Y71" i="6" s="1"/>
  <c r="DX19" i="6"/>
  <c r="DX68" i="6"/>
  <c r="DX67" i="6" s="1"/>
  <c r="CP22" i="9"/>
  <c r="Z14" i="5"/>
  <c r="U22" i="9" s="1"/>
  <c r="U84" i="9" s="1"/>
  <c r="Q122" i="9" l="1"/>
  <c r="Q97" i="9"/>
  <c r="Q98" i="9" s="1"/>
  <c r="V52" i="7"/>
  <c r="CB119" i="9"/>
  <c r="CP102" i="9"/>
  <c r="CD150" i="9"/>
  <c r="CD156" i="9" s="1"/>
  <c r="DX20" i="6"/>
  <c r="CQ101" i="9"/>
  <c r="CQ102" i="9" s="1"/>
  <c r="Z19" i="6"/>
  <c r="U99" i="9" s="1"/>
  <c r="CQ99" i="9"/>
  <c r="T102" i="9"/>
  <c r="CC144" i="9"/>
  <c r="CC104" i="9"/>
  <c r="DK80" i="6"/>
  <c r="CP154" i="9"/>
  <c r="CP134" i="9"/>
  <c r="T114" i="9"/>
  <c r="T127" i="9"/>
  <c r="DV58" i="5"/>
  <c r="CO113" i="9"/>
  <c r="DW58" i="5"/>
  <c r="CP100" i="9"/>
  <c r="CP141" i="9"/>
  <c r="CP143" i="9" s="1"/>
  <c r="CN128" i="9"/>
  <c r="CP84" i="9"/>
  <c r="CP79" i="9"/>
  <c r="DX21" i="6"/>
  <c r="Z21" i="6" s="1"/>
  <c r="CQ142" i="9"/>
  <c r="CQ154" i="9" s="1"/>
  <c r="DJ11" i="6"/>
  <c r="DJ13" i="6" s="1"/>
  <c r="DJ31" i="6" s="1"/>
  <c r="CA97" i="9"/>
  <c r="DH31" i="5"/>
  <c r="CA122" i="9"/>
  <c r="DI31" i="5"/>
  <c r="CB32" i="9" s="1"/>
  <c r="CB92" i="9" s="1"/>
  <c r="CO134" i="9"/>
  <c r="CO79" i="9"/>
  <c r="CQ84" i="9"/>
  <c r="CC97" i="9" l="1"/>
  <c r="CC120" i="9" s="1"/>
  <c r="DJ28" i="5"/>
  <c r="CC28" i="9" s="1"/>
  <c r="DW59" i="5"/>
  <c r="DW60" i="5" s="1"/>
  <c r="DW11" i="5" s="1"/>
  <c r="DV59" i="5"/>
  <c r="DV60" i="5" s="1"/>
  <c r="DV11" i="5" s="1"/>
  <c r="CO17" i="9" s="1"/>
  <c r="Q119" i="9"/>
  <c r="Q131" i="9"/>
  <c r="Q74" i="9" s="1"/>
  <c r="Q120" i="9"/>
  <c r="CC122" i="9"/>
  <c r="DJ29" i="5"/>
  <c r="CC29" i="9" s="1"/>
  <c r="DJ31" i="5"/>
  <c r="CC32" i="9" s="1"/>
  <c r="CB131" i="9"/>
  <c r="CA120" i="9"/>
  <c r="CA131" i="9"/>
  <c r="CB98" i="9"/>
  <c r="CA98" i="9"/>
  <c r="CA119" i="9"/>
  <c r="CQ155" i="9"/>
  <c r="CO114" i="9"/>
  <c r="CO127" i="9"/>
  <c r="CO128" i="9" s="1"/>
  <c r="CP127" i="9"/>
  <c r="CP114" i="9"/>
  <c r="T128" i="9"/>
  <c r="DK22" i="6"/>
  <c r="DK23" i="6" s="1"/>
  <c r="CD103" i="9"/>
  <c r="DL78" i="6"/>
  <c r="DL74" i="6"/>
  <c r="W74" i="6" s="1"/>
  <c r="DL76" i="6"/>
  <c r="CC145" i="9"/>
  <c r="CC146" i="9"/>
  <c r="CQ133" i="9"/>
  <c r="CQ100" i="9"/>
  <c r="CQ141" i="9"/>
  <c r="CQ143" i="9" s="1"/>
  <c r="V31" i="5"/>
  <c r="CA32" i="9"/>
  <c r="Z60" i="7"/>
  <c r="Z68" i="6"/>
  <c r="U142" i="9" s="1"/>
  <c r="U154" i="9" s="1"/>
  <c r="U155" i="9" s="1"/>
  <c r="CQ149" i="9"/>
  <c r="CP155" i="9"/>
  <c r="U100" i="9"/>
  <c r="U133" i="9"/>
  <c r="U141" i="9"/>
  <c r="Z20" i="6"/>
  <c r="DX51" i="5"/>
  <c r="DX57" i="5" s="1"/>
  <c r="CC131" i="9" l="1"/>
  <c r="U143" i="9"/>
  <c r="CC98" i="9"/>
  <c r="CC119" i="9"/>
  <c r="CO71" i="9"/>
  <c r="DU59" i="5"/>
  <c r="DU60" i="5" s="1"/>
  <c r="DU11" i="5" s="1"/>
  <c r="CN17" i="9" s="1"/>
  <c r="CN71" i="9" s="1"/>
  <c r="Q11" i="10"/>
  <c r="Q13" i="10"/>
  <c r="Q132" i="9"/>
  <c r="Q17" i="10"/>
  <c r="Q14" i="10"/>
  <c r="DJ32" i="5"/>
  <c r="CQ113" i="9"/>
  <c r="DX58" i="5"/>
  <c r="CA18" i="10"/>
  <c r="CA92" i="9"/>
  <c r="DL77" i="6"/>
  <c r="DL80" i="6" s="1"/>
  <c r="W76" i="6"/>
  <c r="CE153" i="9"/>
  <c r="CE151" i="9" s="1"/>
  <c r="W78" i="6"/>
  <c r="DK11" i="6"/>
  <c r="DK13" i="6" s="1"/>
  <c r="DK31" i="6" s="1"/>
  <c r="CP128" i="9"/>
  <c r="Z67" i="6"/>
  <c r="Z51" i="5"/>
  <c r="Z57" i="5" s="1"/>
  <c r="U113" i="9" s="1"/>
  <c r="U79" i="9"/>
  <c r="U134" i="9"/>
  <c r="V41" i="7"/>
  <c r="Q32" i="9"/>
  <c r="CQ134" i="9"/>
  <c r="CQ79" i="9"/>
  <c r="CD104" i="9"/>
  <c r="CD144" i="9"/>
  <c r="CA132" i="9"/>
  <c r="CA25" i="10" s="1"/>
  <c r="CA13" i="10"/>
  <c r="CA14" i="10"/>
  <c r="CA74" i="9"/>
  <c r="CA17" i="10"/>
  <c r="CA11" i="10"/>
  <c r="CB74" i="9"/>
  <c r="CB14" i="10"/>
  <c r="CB17" i="10"/>
  <c r="CB132" i="9"/>
  <c r="CB25" i="10" s="1"/>
  <c r="CB8" i="10"/>
  <c r="CB13" i="10"/>
  <c r="CB11" i="10"/>
  <c r="CB18" i="10"/>
  <c r="Q25" i="10"/>
  <c r="CC18" i="10"/>
  <c r="CC92" i="9"/>
  <c r="CC13" i="10"/>
  <c r="CC17" i="10"/>
  <c r="CC14" i="10"/>
  <c r="CC132" i="9"/>
  <c r="CC25" i="10" s="1"/>
  <c r="CC74" i="9"/>
  <c r="CC8" i="10"/>
  <c r="CC11" i="10"/>
  <c r="CC15" i="10"/>
  <c r="CC77" i="9"/>
  <c r="CP17" i="9"/>
  <c r="CC16" i="10"/>
  <c r="CD122" i="9" l="1"/>
  <c r="DK28" i="5"/>
  <c r="CD28" i="9" s="1"/>
  <c r="DK31" i="5"/>
  <c r="CD32" i="9" s="1"/>
  <c r="DK29" i="5"/>
  <c r="CD29" i="9" s="1"/>
  <c r="CD97" i="9"/>
  <c r="CD120" i="9" s="1"/>
  <c r="CD146" i="9"/>
  <c r="CD145" i="9"/>
  <c r="Q92" i="9"/>
  <c r="Q18" i="10"/>
  <c r="U101" i="9"/>
  <c r="U102" i="9" s="1"/>
  <c r="Z69" i="6"/>
  <c r="Z71" i="6" s="1"/>
  <c r="W61" i="7"/>
  <c r="R153" i="9"/>
  <c r="W24" i="7"/>
  <c r="W77" i="6"/>
  <c r="W23" i="7" s="1"/>
  <c r="U114" i="9"/>
  <c r="U127" i="9"/>
  <c r="U128" i="9" s="1"/>
  <c r="CE152" i="9"/>
  <c r="CE150" i="9"/>
  <c r="CE156" i="9" s="1"/>
  <c r="DM74" i="6"/>
  <c r="CE103" i="9"/>
  <c r="DM78" i="6"/>
  <c r="CF153" i="9" s="1"/>
  <c r="CF151" i="9" s="1"/>
  <c r="CF150" i="9" s="1"/>
  <c r="CF156" i="9" s="1"/>
  <c r="DL22" i="6"/>
  <c r="W80" i="6"/>
  <c r="DM76" i="6"/>
  <c r="DM77" i="6" s="1"/>
  <c r="CQ114" i="9"/>
  <c r="CQ127" i="9"/>
  <c r="CQ128" i="9" s="1"/>
  <c r="CP71" i="9"/>
  <c r="CD119" i="9" l="1"/>
  <c r="DK32" i="5"/>
  <c r="CD98" i="9"/>
  <c r="CD131" i="9"/>
  <c r="CD16" i="10" s="1"/>
  <c r="CF152" i="9"/>
  <c r="DM80" i="6"/>
  <c r="DM22" i="6" s="1"/>
  <c r="DM23" i="6" s="1"/>
  <c r="R103" i="9"/>
  <c r="DL23" i="6"/>
  <c r="W22" i="6"/>
  <c r="CE144" i="9"/>
  <c r="CE104" i="9"/>
  <c r="R151" i="9"/>
  <c r="CD92" i="9"/>
  <c r="CD86" i="9"/>
  <c r="CD14" i="10" l="1"/>
  <c r="CD15" i="10"/>
  <c r="CD18" i="10"/>
  <c r="CD132" i="9"/>
  <c r="CD25" i="10" s="1"/>
  <c r="CD8" i="10"/>
  <c r="CD17" i="10"/>
  <c r="DM11" i="6"/>
  <c r="DM13" i="6" s="1"/>
  <c r="DM31" i="6" s="1"/>
  <c r="CD11" i="10"/>
  <c r="CD74" i="9"/>
  <c r="CD13" i="10"/>
  <c r="CD77" i="9"/>
  <c r="CF103" i="9"/>
  <c r="DN74" i="6"/>
  <c r="DN78" i="6"/>
  <c r="CG153" i="9" s="1"/>
  <c r="CG151" i="9" s="1"/>
  <c r="CG152" i="9" s="1"/>
  <c r="DN76" i="6"/>
  <c r="DN77" i="6" s="1"/>
  <c r="R152" i="9"/>
  <c r="R150" i="9"/>
  <c r="CE146" i="9"/>
  <c r="CE145" i="9"/>
  <c r="DL11" i="6"/>
  <c r="R144" i="9"/>
  <c r="R104" i="9"/>
  <c r="W23" i="6"/>
  <c r="CF122" i="9" l="1"/>
  <c r="CG150" i="9"/>
  <c r="CG156" i="9" s="1"/>
  <c r="DN80" i="6"/>
  <c r="DN22" i="6" s="1"/>
  <c r="DN23" i="6" s="1"/>
  <c r="CF144" i="9"/>
  <c r="CF104" i="9"/>
  <c r="R146" i="9"/>
  <c r="R145" i="9"/>
  <c r="W11" i="6"/>
  <c r="W13" i="6" s="1"/>
  <c r="DL13" i="6"/>
  <c r="DL31" i="6" s="1"/>
  <c r="R156" i="9"/>
  <c r="CF97" i="9"/>
  <c r="DM31" i="5" l="1"/>
  <c r="CF32" i="9" s="1"/>
  <c r="DO74" i="6"/>
  <c r="W31" i="6"/>
  <c r="CG103" i="9"/>
  <c r="DN11" i="6"/>
  <c r="DN13" i="6" s="1"/>
  <c r="DN31" i="6" s="1"/>
  <c r="DO78" i="6"/>
  <c r="CH153" i="9" s="1"/>
  <c r="CH151" i="9" s="1"/>
  <c r="CH150" i="9" s="1"/>
  <c r="CH156" i="9" s="1"/>
  <c r="DO76" i="6"/>
  <c r="DO77" i="6" s="1"/>
  <c r="CF146" i="9"/>
  <c r="CF145" i="9"/>
  <c r="CE122" i="9"/>
  <c r="DL31" i="5"/>
  <c r="CE97" i="9"/>
  <c r="CF98" i="9" s="1"/>
  <c r="CF120" i="9"/>
  <c r="CF119" i="9"/>
  <c r="CF92" i="9"/>
  <c r="DN29" i="5" l="1"/>
  <c r="CG29" i="9" s="1"/>
  <c r="R122" i="9"/>
  <c r="R97" i="9"/>
  <c r="W52" i="7"/>
  <c r="CF131" i="9"/>
  <c r="CF13" i="10" s="1"/>
  <c r="CH152" i="9"/>
  <c r="CG144" i="9"/>
  <c r="CG104" i="9"/>
  <c r="DO80" i="6"/>
  <c r="CE119" i="9"/>
  <c r="CE120" i="9"/>
  <c r="CE131" i="9"/>
  <c r="CE98" i="9"/>
  <c r="CE32" i="9"/>
  <c r="W31" i="5"/>
  <c r="CG97" i="9"/>
  <c r="DN31" i="5"/>
  <c r="DN28" i="5"/>
  <c r="CG122" i="9"/>
  <c r="CF14" i="10"/>
  <c r="R119" i="9" l="1"/>
  <c r="R98" i="9"/>
  <c r="R131" i="9"/>
  <c r="R120" i="9"/>
  <c r="CF8" i="10"/>
  <c r="CF132" i="9"/>
  <c r="CF25" i="10" s="1"/>
  <c r="CF18" i="10"/>
  <c r="CF11" i="10"/>
  <c r="CF17" i="10"/>
  <c r="CF74" i="9"/>
  <c r="CG146" i="9"/>
  <c r="CG145" i="9"/>
  <c r="DP74" i="6"/>
  <c r="X74" i="6" s="1"/>
  <c r="DP78" i="6"/>
  <c r="DO22" i="6"/>
  <c r="DO23" i="6" s="1"/>
  <c r="CH103" i="9"/>
  <c r="DP76" i="6"/>
  <c r="W41" i="7"/>
  <c r="R32" i="9"/>
  <c r="CE92" i="9"/>
  <c r="CE18" i="10"/>
  <c r="CE74" i="9"/>
  <c r="CE17" i="10"/>
  <c r="CE132" i="9"/>
  <c r="CE25" i="10" s="1"/>
  <c r="CE11" i="10"/>
  <c r="CE13" i="10"/>
  <c r="CE14" i="10"/>
  <c r="CG32" i="9"/>
  <c r="R13" i="10"/>
  <c r="DN32" i="5"/>
  <c r="CG28" i="9"/>
  <c r="CG98" i="9"/>
  <c r="CG120" i="9"/>
  <c r="CG119" i="9"/>
  <c r="CG131" i="9"/>
  <c r="R74" i="9" l="1"/>
  <c r="R14" i="10"/>
  <c r="R11" i="10"/>
  <c r="R132" i="9"/>
  <c r="R25" i="10" s="1"/>
  <c r="R17" i="10"/>
  <c r="R18" i="10"/>
  <c r="CH104" i="9"/>
  <c r="CH144" i="9"/>
  <c r="X78" i="6"/>
  <c r="CI153" i="9"/>
  <c r="CI151" i="9" s="1"/>
  <c r="DP77" i="6"/>
  <c r="DP80" i="6" s="1"/>
  <c r="X76" i="6"/>
  <c r="DO11" i="6"/>
  <c r="DO13" i="6" s="1"/>
  <c r="DO31" i="6" s="1"/>
  <c r="R92" i="9"/>
  <c r="CG15" i="10"/>
  <c r="CG77" i="9"/>
  <c r="CG18" i="10"/>
  <c r="CG92" i="9"/>
  <c r="CG13" i="10"/>
  <c r="CG17" i="10"/>
  <c r="CG14" i="10"/>
  <c r="CG132" i="9"/>
  <c r="CG25" i="10" s="1"/>
  <c r="CG74" i="9"/>
  <c r="CG11" i="10"/>
  <c r="CG8" i="10"/>
  <c r="CG16" i="10"/>
  <c r="CH97" i="9" l="1"/>
  <c r="DO29" i="5"/>
  <c r="CH29" i="9" s="1"/>
  <c r="CH122" i="9"/>
  <c r="DO28" i="5"/>
  <c r="CH28" i="9" s="1"/>
  <c r="DO31" i="5"/>
  <c r="X77" i="6"/>
  <c r="X23" i="7" s="1"/>
  <c r="X24" i="7"/>
  <c r="CI150" i="9"/>
  <c r="CI156" i="9" s="1"/>
  <c r="CI152" i="9"/>
  <c r="CH146" i="9"/>
  <c r="CH145" i="9"/>
  <c r="DP22" i="6"/>
  <c r="X80" i="6"/>
  <c r="DQ76" i="6"/>
  <c r="DQ77" i="6" s="1"/>
  <c r="DQ74" i="6"/>
  <c r="CI103" i="9"/>
  <c r="DQ78" i="6"/>
  <c r="CJ153" i="9" s="1"/>
  <c r="CJ151" i="9" s="1"/>
  <c r="CJ152" i="9" s="1"/>
  <c r="X61" i="7"/>
  <c r="S153" i="9"/>
  <c r="CH98" i="9"/>
  <c r="CH120" i="9"/>
  <c r="CH119" i="9"/>
  <c r="CH131" i="9"/>
  <c r="CH16" i="10" l="1"/>
  <c r="DO32" i="5"/>
  <c r="CH32" i="9"/>
  <c r="CH18" i="10" s="1"/>
  <c r="CJ150" i="9"/>
  <c r="CJ156" i="9" s="1"/>
  <c r="DQ80" i="6"/>
  <c r="S151" i="9"/>
  <c r="S103" i="9"/>
  <c r="CI104" i="9"/>
  <c r="CI144" i="9"/>
  <c r="DP23" i="6"/>
  <c r="X22" i="6"/>
  <c r="CH15" i="10"/>
  <c r="CH77" i="9"/>
  <c r="CH86" i="9"/>
  <c r="CH14" i="10"/>
  <c r="CH13" i="10"/>
  <c r="CH17" i="10"/>
  <c r="CH74" i="9"/>
  <c r="CH132" i="9"/>
  <c r="CH25" i="10" s="1"/>
  <c r="CH11" i="10"/>
  <c r="CH8" i="10"/>
  <c r="CH92" i="9" l="1"/>
  <c r="DR74" i="6"/>
  <c r="DR76" i="6"/>
  <c r="DR77" i="6" s="1"/>
  <c r="DQ22" i="6"/>
  <c r="DQ23" i="6" s="1"/>
  <c r="CJ103" i="9"/>
  <c r="DR78" i="6"/>
  <c r="CK153" i="9" s="1"/>
  <c r="CK151" i="9" s="1"/>
  <c r="CK150" i="9" s="1"/>
  <c r="CK156" i="9" s="1"/>
  <c r="X23" i="6"/>
  <c r="CI146" i="9"/>
  <c r="CI145" i="9"/>
  <c r="DP11" i="6"/>
  <c r="S104" i="9"/>
  <c r="S144" i="9"/>
  <c r="S150" i="9"/>
  <c r="S152" i="9"/>
  <c r="CK152" i="9" l="1"/>
  <c r="DR80" i="6"/>
  <c r="CJ144" i="9"/>
  <c r="CJ104" i="9"/>
  <c r="DQ11" i="6"/>
  <c r="DQ13" i="6" s="1"/>
  <c r="DQ31" i="6" s="1"/>
  <c r="S156" i="9"/>
  <c r="S146" i="9"/>
  <c r="S145" i="9"/>
  <c r="DP13" i="6"/>
  <c r="DP31" i="6" s="1"/>
  <c r="X11" i="6"/>
  <c r="X13" i="6" s="1"/>
  <c r="CJ122" i="9" l="1"/>
  <c r="DQ31" i="5"/>
  <c r="CJ97" i="9"/>
  <c r="X31" i="6"/>
  <c r="DS74" i="6"/>
  <c r="DR22" i="6"/>
  <c r="DR23" i="6" s="1"/>
  <c r="CK103" i="9"/>
  <c r="DS78" i="6"/>
  <c r="CL153" i="9" s="1"/>
  <c r="CL151" i="9" s="1"/>
  <c r="CL150" i="9" s="1"/>
  <c r="CL156" i="9" s="1"/>
  <c r="DS76" i="6"/>
  <c r="DS77" i="6" s="1"/>
  <c r="CJ145" i="9"/>
  <c r="CJ146" i="9"/>
  <c r="DP31" i="5"/>
  <c r="CI97" i="9"/>
  <c r="CJ98" i="9" s="1"/>
  <c r="CI122" i="9"/>
  <c r="CJ32" i="9"/>
  <c r="CJ120" i="9"/>
  <c r="CJ119" i="9"/>
  <c r="X52" i="7" l="1"/>
  <c r="S122" i="9"/>
  <c r="S97" i="9"/>
  <c r="CL152" i="9"/>
  <c r="DS80" i="6"/>
  <c r="DT78" i="6" s="1"/>
  <c r="CJ131" i="9"/>
  <c r="CJ13" i="10" s="1"/>
  <c r="DT74" i="6"/>
  <c r="Y74" i="6" s="1"/>
  <c r="DR11" i="6"/>
  <c r="DR13" i="6" s="1"/>
  <c r="DR31" i="6" s="1"/>
  <c r="CK104" i="9"/>
  <c r="CK144" i="9"/>
  <c r="CI98" i="9"/>
  <c r="CI119" i="9"/>
  <c r="CI120" i="9"/>
  <c r="CI131" i="9"/>
  <c r="CI32" i="9"/>
  <c r="X31" i="5"/>
  <c r="CJ92" i="9"/>
  <c r="CK97" i="9" l="1"/>
  <c r="S98" i="9"/>
  <c r="CJ14" i="10"/>
  <c r="S119" i="9"/>
  <c r="S131" i="9"/>
  <c r="S120" i="9"/>
  <c r="CK122" i="9"/>
  <c r="CJ18" i="10"/>
  <c r="CJ11" i="10"/>
  <c r="CJ8" i="10"/>
  <c r="CJ17" i="10"/>
  <c r="CJ74" i="9"/>
  <c r="CJ132" i="9"/>
  <c r="CJ25" i="10" s="1"/>
  <c r="DR29" i="5"/>
  <c r="CK29" i="9" s="1"/>
  <c r="DR31" i="5"/>
  <c r="CK32" i="9" s="1"/>
  <c r="CL103" i="9"/>
  <c r="Y78" i="6"/>
  <c r="CM153" i="9"/>
  <c r="CM151" i="9" s="1"/>
  <c r="CM150" i="9" s="1"/>
  <c r="CM156" i="9" s="1"/>
  <c r="DR28" i="5"/>
  <c r="CK28" i="9" s="1"/>
  <c r="DS22" i="6"/>
  <c r="DS23" i="6" s="1"/>
  <c r="DT76" i="6"/>
  <c r="CK146" i="9"/>
  <c r="CK145" i="9"/>
  <c r="X41" i="7"/>
  <c r="S32" i="9"/>
  <c r="CI13" i="10"/>
  <c r="CI14" i="10"/>
  <c r="CI74" i="9"/>
  <c r="CI17" i="10"/>
  <c r="CI132" i="9"/>
  <c r="CI25" i="10" s="1"/>
  <c r="CI11" i="10"/>
  <c r="CI92" i="9"/>
  <c r="CI18" i="10"/>
  <c r="CK98" i="9"/>
  <c r="CK120" i="9"/>
  <c r="CK119" i="9"/>
  <c r="CK131" i="9"/>
  <c r="S18" i="10" l="1"/>
  <c r="T153" i="9"/>
  <c r="S132" i="9"/>
  <c r="S25" i="10" s="1"/>
  <c r="S14" i="10"/>
  <c r="S17" i="10"/>
  <c r="Y61" i="7"/>
  <c r="CM152" i="9"/>
  <c r="CK16" i="10"/>
  <c r="S11" i="10"/>
  <c r="S74" i="9"/>
  <c r="S13" i="10"/>
  <c r="DR32" i="5"/>
  <c r="CL104" i="9"/>
  <c r="CL144" i="9"/>
  <c r="Y76" i="6"/>
  <c r="DT77" i="6"/>
  <c r="DT80" i="6" s="1"/>
  <c r="DS11" i="6"/>
  <c r="DS13" i="6" s="1"/>
  <c r="DS31" i="6" s="1"/>
  <c r="S92" i="9"/>
  <c r="T151" i="9"/>
  <c r="CK15" i="10"/>
  <c r="CK77" i="9"/>
  <c r="CK18" i="10"/>
  <c r="CK92" i="9"/>
  <c r="CK13" i="10"/>
  <c r="CK17" i="10"/>
  <c r="CK14" i="10"/>
  <c r="CK132" i="9"/>
  <c r="CK25" i="10" s="1"/>
  <c r="CK74" i="9"/>
  <c r="CK11" i="10"/>
  <c r="CK8" i="10"/>
  <c r="CL97" i="9" l="1"/>
  <c r="CL122" i="9"/>
  <c r="T150" i="9"/>
  <c r="T156" i="9" s="1"/>
  <c r="DS29" i="5"/>
  <c r="CL29" i="9" s="1"/>
  <c r="DS28" i="5"/>
  <c r="CL28" i="9" s="1"/>
  <c r="DS31" i="5"/>
  <c r="CL32" i="9" s="1"/>
  <c r="CL145" i="9"/>
  <c r="CL146" i="9"/>
  <c r="DU74" i="6"/>
  <c r="CM103" i="9"/>
  <c r="DU76" i="6"/>
  <c r="DU77" i="6" s="1"/>
  <c r="DT22" i="6"/>
  <c r="Y80" i="6"/>
  <c r="DU78" i="6"/>
  <c r="CN153" i="9" s="1"/>
  <c r="CN151" i="9" s="1"/>
  <c r="CN150" i="9" s="1"/>
  <c r="CN156" i="9" s="1"/>
  <c r="Y77" i="6"/>
  <c r="Y23" i="7" s="1"/>
  <c r="Y24" i="7"/>
  <c r="T152" i="9"/>
  <c r="CL98" i="9"/>
  <c r="CL120" i="9"/>
  <c r="CL119" i="9"/>
  <c r="CL131" i="9"/>
  <c r="CN152" i="9" l="1"/>
  <c r="DS32" i="5"/>
  <c r="DT23" i="6"/>
  <c r="Y22" i="6"/>
  <c r="CM104" i="9"/>
  <c r="CM144" i="9"/>
  <c r="T103" i="9"/>
  <c r="DU80" i="6"/>
  <c r="CL15" i="10"/>
  <c r="CL77" i="9"/>
  <c r="CL86" i="9"/>
  <c r="CL14" i="10"/>
  <c r="CL13" i="10"/>
  <c r="CL17" i="10"/>
  <c r="CL74" i="9"/>
  <c r="CL132" i="9"/>
  <c r="CL25" i="10" s="1"/>
  <c r="CL11" i="10"/>
  <c r="CL8" i="10"/>
  <c r="CL18" i="10"/>
  <c r="CL92" i="9"/>
  <c r="CL16" i="10"/>
  <c r="DV74" i="6" l="1"/>
  <c r="DV76" i="6"/>
  <c r="DV77" i="6" s="1"/>
  <c r="DU22" i="6"/>
  <c r="DU23" i="6" s="1"/>
  <c r="CN103" i="9"/>
  <c r="DV78" i="6"/>
  <c r="CO153" i="9" s="1"/>
  <c r="CO151" i="9" s="1"/>
  <c r="CO152" i="9" s="1"/>
  <c r="CM146" i="9"/>
  <c r="CM145" i="9"/>
  <c r="Y23" i="6"/>
  <c r="T144" i="9"/>
  <c r="T104" i="9"/>
  <c r="DT11" i="6"/>
  <c r="CO150" i="9" l="1"/>
  <c r="CO156" i="9" s="1"/>
  <c r="DV80" i="6"/>
  <c r="DW76" i="6" s="1"/>
  <c r="DW77" i="6" s="1"/>
  <c r="CN104" i="9"/>
  <c r="CN144" i="9"/>
  <c r="DT13" i="6"/>
  <c r="DT31" i="6" s="1"/>
  <c r="Y11" i="6"/>
  <c r="Y13" i="6" s="1"/>
  <c r="Y31" i="6" s="1"/>
  <c r="T145" i="9"/>
  <c r="T146" i="9"/>
  <c r="DU11" i="6"/>
  <c r="DU13" i="6" s="1"/>
  <c r="DU31" i="6" s="1"/>
  <c r="T97" i="9" l="1"/>
  <c r="CN97" i="9"/>
  <c r="CN119" i="9" s="1"/>
  <c r="T122" i="9"/>
  <c r="T119" i="9"/>
  <c r="CN122" i="9"/>
  <c r="T98" i="9"/>
  <c r="T131" i="9"/>
  <c r="T120" i="9"/>
  <c r="Y52" i="7"/>
  <c r="DW74" i="6"/>
  <c r="CO103" i="9"/>
  <c r="DV22" i="6"/>
  <c r="DV23" i="6" s="1"/>
  <c r="DW78" i="6"/>
  <c r="CP153" i="9" s="1"/>
  <c r="CP151" i="9" s="1"/>
  <c r="CP150" i="9" s="1"/>
  <c r="CP156" i="9" s="1"/>
  <c r="CM122" i="9"/>
  <c r="CM97" i="9"/>
  <c r="DT31" i="5"/>
  <c r="DU31" i="5"/>
  <c r="CN32" i="9" s="1"/>
  <c r="CN92" i="9" s="1"/>
  <c r="CN145" i="9"/>
  <c r="CN146" i="9"/>
  <c r="CN120" i="9"/>
  <c r="T74" i="9" l="1"/>
  <c r="T14" i="10"/>
  <c r="CP152" i="9"/>
  <c r="T11" i="10"/>
  <c r="T132" i="9"/>
  <c r="T25" i="10" s="1"/>
  <c r="T17" i="10"/>
  <c r="T13" i="10"/>
  <c r="DW80" i="6"/>
  <c r="DW22" i="6" s="1"/>
  <c r="DW23" i="6" s="1"/>
  <c r="CO104" i="9"/>
  <c r="CO144" i="9"/>
  <c r="DV11" i="6"/>
  <c r="DV13" i="6" s="1"/>
  <c r="DV31" i="6" s="1"/>
  <c r="CM98" i="9"/>
  <c r="CM119" i="9"/>
  <c r="CN131" i="9"/>
  <c r="CM120" i="9"/>
  <c r="CM131" i="9"/>
  <c r="CN98" i="9"/>
  <c r="Y31" i="5"/>
  <c r="CM32" i="9"/>
  <c r="DV29" i="5" l="1"/>
  <c r="CO29" i="9" s="1"/>
  <c r="CO122" i="9"/>
  <c r="CO97" i="9"/>
  <c r="CO120" i="9" s="1"/>
  <c r="DX74" i="6"/>
  <c r="Z74" i="6" s="1"/>
  <c r="DV31" i="5"/>
  <c r="CO32" i="9" s="1"/>
  <c r="CP103" i="9"/>
  <c r="DW11" i="6"/>
  <c r="DW13" i="6" s="1"/>
  <c r="DW31" i="6" s="1"/>
  <c r="DX76" i="6"/>
  <c r="DX78" i="6"/>
  <c r="DV28" i="5"/>
  <c r="CO28" i="9" s="1"/>
  <c r="CO145" i="9"/>
  <c r="CO146" i="9"/>
  <c r="CM92" i="9"/>
  <c r="CM18" i="10"/>
  <c r="T32" i="9"/>
  <c r="Y41" i="7"/>
  <c r="CM13" i="10"/>
  <c r="CM14" i="10"/>
  <c r="CM74" i="9"/>
  <c r="CM17" i="10"/>
  <c r="CM132" i="9"/>
  <c r="CM25" i="10" s="1"/>
  <c r="CM11" i="10"/>
  <c r="CN14" i="10"/>
  <c r="CN17" i="10"/>
  <c r="CN132" i="9"/>
  <c r="CN25" i="10" s="1"/>
  <c r="CN8" i="10"/>
  <c r="CN18" i="10"/>
  <c r="CN13" i="10"/>
  <c r="CN74" i="9"/>
  <c r="CN11" i="10"/>
  <c r="DW28" i="5" l="1"/>
  <c r="CO131" i="9"/>
  <c r="CO13" i="10" s="1"/>
  <c r="CO119" i="9"/>
  <c r="CO98" i="9"/>
  <c r="DV32" i="5"/>
  <c r="CP104" i="9"/>
  <c r="CP144" i="9"/>
  <c r="Z78" i="6"/>
  <c r="CQ153" i="9"/>
  <c r="CQ151" i="9" s="1"/>
  <c r="DX77" i="6"/>
  <c r="DX80" i="6" s="1"/>
  <c r="Z76" i="6"/>
  <c r="T18" i="10"/>
  <c r="T92" i="9"/>
  <c r="CP97" i="9"/>
  <c r="DW31" i="5"/>
  <c r="DW29" i="5"/>
  <c r="CP29" i="9" s="1"/>
  <c r="CO92" i="9"/>
  <c r="CP122" i="9"/>
  <c r="CO16" i="10" l="1"/>
  <c r="CO15" i="10"/>
  <c r="CO11" i="10"/>
  <c r="CO132" i="9"/>
  <c r="CO25" i="10" s="1"/>
  <c r="CO17" i="10"/>
  <c r="CO18" i="10"/>
  <c r="CO77" i="9"/>
  <c r="CO8" i="10"/>
  <c r="CO74" i="9"/>
  <c r="CO14" i="10"/>
  <c r="CP146" i="9"/>
  <c r="CP145" i="9"/>
  <c r="Z24" i="7"/>
  <c r="Z77" i="6"/>
  <c r="Z23" i="7" s="1"/>
  <c r="CQ152" i="9"/>
  <c r="CQ150" i="9"/>
  <c r="CQ156" i="9" s="1"/>
  <c r="Z80" i="6"/>
  <c r="DX22" i="6"/>
  <c r="CQ103" i="9"/>
  <c r="U153" i="9"/>
  <c r="U151" i="9" s="1"/>
  <c r="Z61" i="7"/>
  <c r="CP32" i="9"/>
  <c r="DW32" i="5"/>
  <c r="CP28" i="9"/>
  <c r="CP98" i="9"/>
  <c r="CP120" i="9"/>
  <c r="CP119" i="9"/>
  <c r="CP131" i="9"/>
  <c r="U152" i="9" l="1"/>
  <c r="U150" i="9"/>
  <c r="U156" i="9" s="1"/>
  <c r="DX23" i="6"/>
  <c r="Z22" i="6"/>
  <c r="CQ104" i="9"/>
  <c r="CQ144" i="9"/>
  <c r="AE24" i="7"/>
  <c r="U103" i="9"/>
  <c r="AD24" i="7"/>
  <c r="CP14" i="10"/>
  <c r="CP13" i="10"/>
  <c r="CP17" i="10"/>
  <c r="CP74" i="9"/>
  <c r="CP132" i="9"/>
  <c r="CP25" i="10" s="1"/>
  <c r="CP11" i="10"/>
  <c r="CP8" i="10"/>
  <c r="CP15" i="10"/>
  <c r="CP77" i="9"/>
  <c r="CP86" i="9"/>
  <c r="CP16" i="10"/>
  <c r="CP18" i="10"/>
  <c r="CP92" i="9"/>
  <c r="U144" i="9" l="1"/>
  <c r="U104" i="9"/>
  <c r="CQ145" i="9"/>
  <c r="CQ146" i="9"/>
  <c r="Z23" i="6"/>
  <c r="DX11" i="6"/>
  <c r="DX13" i="6" l="1"/>
  <c r="DX31" i="6" s="1"/>
  <c r="Z11" i="6"/>
  <c r="Z13" i="6" s="1"/>
  <c r="Z31" i="6" s="1"/>
  <c r="U145" i="9"/>
  <c r="U146" i="9"/>
  <c r="U97" i="9" l="1"/>
  <c r="U98" i="9" s="1"/>
  <c r="CQ122" i="9"/>
  <c r="Z52" i="7"/>
  <c r="U122" i="9"/>
  <c r="DX31" i="5"/>
  <c r="CQ97" i="9"/>
  <c r="U131" i="9" l="1"/>
  <c r="U119" i="9"/>
  <c r="U120" i="9"/>
  <c r="U132" i="9"/>
  <c r="U25" i="10" s="1"/>
  <c r="U17" i="10"/>
  <c r="U11" i="10"/>
  <c r="U74" i="9"/>
  <c r="CQ131" i="9"/>
  <c r="CQ98" i="9"/>
  <c r="CQ119" i="9"/>
  <c r="CQ120" i="9"/>
  <c r="CQ32" i="9"/>
  <c r="Z31" i="5"/>
  <c r="U13" i="10" l="1"/>
  <c r="U14" i="10"/>
  <c r="CQ92" i="9"/>
  <c r="CQ18" i="10"/>
  <c r="CQ17" i="10"/>
  <c r="CQ132" i="9"/>
  <c r="CQ25" i="10" s="1"/>
  <c r="CQ11" i="10"/>
  <c r="CQ13" i="10"/>
  <c r="CQ14" i="10"/>
  <c r="CQ74" i="9"/>
  <c r="U32" i="9"/>
  <c r="Z41" i="7"/>
  <c r="U18" i="10" l="1"/>
  <c r="U92" i="9"/>
  <c r="DD59" i="5"/>
  <c r="DD60" i="5" s="1"/>
  <c r="DD11" i="5" s="1"/>
  <c r="BW17" i="9" l="1"/>
  <c r="BW8" i="10" l="1"/>
  <c r="BW71" i="9"/>
  <c r="DH59" i="5"/>
  <c r="DH60" i="5" s="1"/>
  <c r="DH11" i="5" l="1"/>
  <c r="V60" i="5"/>
  <c r="DL59" i="5"/>
  <c r="DL60" i="5" s="1"/>
  <c r="DL11" i="5" l="1"/>
  <c r="W60" i="5"/>
  <c r="V21" i="7"/>
  <c r="V59" i="5"/>
  <c r="DP59" i="5"/>
  <c r="DP60" i="5" s="1"/>
  <c r="V11" i="5"/>
  <c r="CA17" i="9"/>
  <c r="W11" i="5" l="1"/>
  <c r="CE17" i="9"/>
  <c r="CA8" i="10"/>
  <c r="CA71" i="9"/>
  <c r="Q17" i="9"/>
  <c r="DP11" i="5"/>
  <c r="X60" i="5"/>
  <c r="W21" i="7"/>
  <c r="W59" i="5"/>
  <c r="DT59" i="5"/>
  <c r="DT60" i="5" s="1"/>
  <c r="X21" i="7" l="1"/>
  <c r="X59" i="5"/>
  <c r="Q8" i="10"/>
  <c r="Q71" i="9"/>
  <c r="DX59" i="5"/>
  <c r="DX60" i="5" s="1"/>
  <c r="CE8" i="10"/>
  <c r="CE71" i="9"/>
  <c r="DT11" i="5"/>
  <c r="Y60" i="5"/>
  <c r="X11" i="5"/>
  <c r="CI17" i="9"/>
  <c r="R17" i="9"/>
  <c r="CI8" i="10" l="1"/>
  <c r="CI71" i="9"/>
  <c r="Y21" i="7"/>
  <c r="Y59" i="5"/>
  <c r="DX11" i="5"/>
  <c r="Z60" i="5"/>
  <c r="R8" i="10"/>
  <c r="R71" i="9"/>
  <c r="S17" i="9"/>
  <c r="Y11" i="5"/>
  <c r="CM17" i="9"/>
  <c r="CM8" i="10" l="1"/>
  <c r="CM71" i="9"/>
  <c r="T17" i="9"/>
  <c r="Z21" i="7"/>
  <c r="Z59" i="5"/>
  <c r="S8" i="10"/>
  <c r="S71" i="9"/>
  <c r="Z11" i="5"/>
  <c r="CQ17" i="9"/>
  <c r="U17" i="9" l="1"/>
  <c r="T8" i="10"/>
  <c r="T71" i="9"/>
  <c r="CQ8" i="10"/>
  <c r="CQ71" i="9"/>
  <c r="U8" i="10" l="1"/>
  <c r="U71" i="9"/>
  <c r="DB59" i="5" l="1"/>
  <c r="DB60" i="5" s="1"/>
  <c r="DB11" i="5" s="1"/>
  <c r="BU17" i="9" l="1"/>
  <c r="BU8" i="10" l="1"/>
  <c r="BU71" i="9"/>
  <c r="DA59" i="5"/>
  <c r="DA60" i="5" s="1"/>
  <c r="DA11" i="5" l="1"/>
  <c r="U60" i="5"/>
  <c r="U11" i="5" l="1"/>
  <c r="BT17" i="9"/>
  <c r="U21" i="7"/>
  <c r="U59" i="5"/>
  <c r="BT8" i="10" l="1"/>
  <c r="BT71" i="9"/>
  <c r="P17" i="9"/>
  <c r="P8" i="10" l="1"/>
  <c r="P71" i="9"/>
  <c r="DD35" i="6" l="1"/>
  <c r="U35" i="6" l="1"/>
  <c r="DE35" i="6"/>
  <c r="DF35" i="6" l="1"/>
  <c r="U73" i="7"/>
  <c r="DG35" i="6" l="1"/>
  <c r="DH35" i="6" l="1"/>
  <c r="V35" i="6" l="1"/>
  <c r="DI35" i="6"/>
  <c r="V73" i="7" l="1"/>
  <c r="DJ35" i="6"/>
  <c r="DK35" i="6" l="1"/>
  <c r="DL35" i="6" l="1"/>
  <c r="W35" i="6" l="1"/>
  <c r="DM35" i="6"/>
  <c r="W73" i="7" l="1"/>
  <c r="DN35" i="6"/>
  <c r="DO35" i="6" l="1"/>
  <c r="DP35" i="6" l="1"/>
  <c r="X35" i="6" l="1"/>
  <c r="DQ35" i="6"/>
  <c r="DR35" i="6" l="1"/>
  <c r="X73" i="7"/>
  <c r="DS35" i="6" l="1"/>
  <c r="DT35" i="6" l="1"/>
  <c r="Y35" i="6" l="1"/>
  <c r="DU35" i="6"/>
  <c r="Y73" i="7" l="1"/>
  <c r="DV35" i="6"/>
  <c r="DW35" i="6" l="1"/>
  <c r="DX35" i="6" l="1"/>
  <c r="Z35" i="6" l="1"/>
  <c r="Z73" i="7" l="1"/>
  <c r="DA28" i="5" l="1"/>
  <c r="BT28" i="9" s="1"/>
  <c r="BT15" i="10" l="1"/>
  <c r="DA29" i="5" l="1"/>
  <c r="DA32" i="5" l="1"/>
  <c r="BT29" i="9"/>
  <c r="BT77" i="9" s="1"/>
  <c r="DE29" i="5"/>
  <c r="DD29" i="5"/>
  <c r="BT16" i="10" l="1"/>
  <c r="BT86" i="9"/>
  <c r="BU86" i="9"/>
  <c r="DI29" i="5"/>
  <c r="BX29" i="9"/>
  <c r="BX16" i="10" s="1"/>
  <c r="DH29" i="5"/>
  <c r="BW29" i="9"/>
  <c r="BW16" i="10" s="1"/>
  <c r="U29" i="5"/>
  <c r="U39" i="7" l="1"/>
  <c r="P29" i="9"/>
  <c r="DE28" i="5"/>
  <c r="CA29" i="9"/>
  <c r="CA16" i="10" s="1"/>
  <c r="CB29" i="9"/>
  <c r="CB16" i="10" s="1"/>
  <c r="DD28" i="5"/>
  <c r="DM29" i="5"/>
  <c r="DL29" i="5"/>
  <c r="CE29" i="9" s="1"/>
  <c r="CE16" i="10" s="1"/>
  <c r="V29" i="5"/>
  <c r="P16" i="10" l="1"/>
  <c r="DI28" i="5"/>
  <c r="U28" i="5"/>
  <c r="BW28" i="9"/>
  <c r="DD32" i="5"/>
  <c r="DE32" i="5"/>
  <c r="BX28" i="9"/>
  <c r="V39" i="7"/>
  <c r="Q29" i="9"/>
  <c r="CF29" i="9"/>
  <c r="CF16" i="10" s="1"/>
  <c r="W29" i="5"/>
  <c r="DQ29" i="5"/>
  <c r="DP29" i="5"/>
  <c r="CI29" i="9" s="1"/>
  <c r="CI16" i="10" s="1"/>
  <c r="DH28" i="5"/>
  <c r="Q16" i="10" l="1"/>
  <c r="X29" i="5"/>
  <c r="DH32" i="5"/>
  <c r="CA28" i="9"/>
  <c r="BW15" i="10"/>
  <c r="BW86" i="9"/>
  <c r="BW77" i="9"/>
  <c r="DU29" i="5"/>
  <c r="DT29" i="5"/>
  <c r="CM29" i="9" s="1"/>
  <c r="CM16" i="10" s="1"/>
  <c r="DL28" i="5"/>
  <c r="W28" i="5" s="1"/>
  <c r="CJ29" i="9"/>
  <c r="CJ16" i="10" s="1"/>
  <c r="W39" i="7"/>
  <c r="R29" i="9"/>
  <c r="BX15" i="10"/>
  <c r="BX77" i="9"/>
  <c r="BY86" i="9"/>
  <c r="BX86" i="9"/>
  <c r="V28" i="5"/>
  <c r="U38" i="7"/>
  <c r="U32" i="5"/>
  <c r="P28" i="9"/>
  <c r="DM28" i="5"/>
  <c r="DI32" i="5"/>
  <c r="CB28" i="9"/>
  <c r="R16" i="10" l="1"/>
  <c r="X39" i="7"/>
  <c r="S29" i="9"/>
  <c r="CB15" i="10"/>
  <c r="CB77" i="9"/>
  <c r="CB86" i="9"/>
  <c r="CC86" i="9"/>
  <c r="DX29" i="5"/>
  <c r="CQ29" i="9" s="1"/>
  <c r="CQ16" i="10" s="1"/>
  <c r="Y29" i="5"/>
  <c r="W38" i="7"/>
  <c r="W32" i="5"/>
  <c r="R28" i="9"/>
  <c r="DM32" i="5"/>
  <c r="CF28" i="9"/>
  <c r="P15" i="10"/>
  <c r="P77" i="9"/>
  <c r="P86" i="9"/>
  <c r="V38" i="7"/>
  <c r="V32" i="5"/>
  <c r="Q28" i="9"/>
  <c r="CE28" i="9"/>
  <c r="DL32" i="5"/>
  <c r="CN29" i="9"/>
  <c r="CN16" i="10" s="1"/>
  <c r="DP28" i="5"/>
  <c r="DQ28" i="5"/>
  <c r="CA15" i="10"/>
  <c r="CA77" i="9"/>
  <c r="CA86" i="9"/>
  <c r="Z29" i="5" l="1"/>
  <c r="Z39" i="7" s="1"/>
  <c r="S16" i="10"/>
  <c r="DP32" i="5"/>
  <c r="CI28" i="9"/>
  <c r="DU28" i="5"/>
  <c r="DQ32" i="5"/>
  <c r="CJ28" i="9"/>
  <c r="Q15" i="10"/>
  <c r="Q77" i="9"/>
  <c r="Q86" i="9"/>
  <c r="CF15" i="10"/>
  <c r="CF77" i="9"/>
  <c r="CG86" i="9"/>
  <c r="CF86" i="9"/>
  <c r="X28" i="5"/>
  <c r="Y39" i="7"/>
  <c r="T29" i="9"/>
  <c r="DT28" i="5"/>
  <c r="CE15" i="10"/>
  <c r="CE86" i="9"/>
  <c r="CE77" i="9"/>
  <c r="R15" i="10"/>
  <c r="R77" i="9"/>
  <c r="R86" i="9"/>
  <c r="U29" i="9" l="1"/>
  <c r="U16" i="10" s="1"/>
  <c r="T16" i="10"/>
  <c r="DX28" i="5"/>
  <c r="Z28" i="5" s="1"/>
  <c r="CM28" i="9"/>
  <c r="DT32" i="5"/>
  <c r="Y28" i="5"/>
  <c r="DU32" i="5"/>
  <c r="CN28" i="9"/>
  <c r="CI15" i="10"/>
  <c r="CI77" i="9"/>
  <c r="CI86" i="9"/>
  <c r="X38" i="7"/>
  <c r="X32" i="5"/>
  <c r="S28" i="9"/>
  <c r="CJ15" i="10"/>
  <c r="CJ77" i="9"/>
  <c r="CJ86" i="9"/>
  <c r="CK86" i="9"/>
  <c r="Z38" i="7" l="1"/>
  <c r="Z32" i="5"/>
  <c r="U28" i="9"/>
  <c r="S15" i="10"/>
  <c r="S77" i="9"/>
  <c r="S86" i="9"/>
  <c r="CN15" i="10"/>
  <c r="CN77" i="9"/>
  <c r="CO86" i="9"/>
  <c r="CN86" i="9"/>
  <c r="Y38" i="7"/>
  <c r="Y32" i="5"/>
  <c r="T28" i="9"/>
  <c r="CM15" i="10"/>
  <c r="CM86" i="9"/>
  <c r="CM77" i="9"/>
  <c r="DX32" i="5"/>
  <c r="CQ28" i="9"/>
  <c r="CQ15" i="10" l="1"/>
  <c r="CQ77" i="9"/>
  <c r="CQ86" i="9"/>
  <c r="T15" i="10"/>
  <c r="T77" i="9"/>
  <c r="T86" i="9"/>
  <c r="U15" i="10"/>
  <c r="U77" i="9"/>
  <c r="U86" i="9"/>
  <c r="DA69" i="5" l="1"/>
  <c r="DB69" i="5"/>
  <c r="DC69" i="5"/>
  <c r="DD69" i="5"/>
  <c r="DE69" i="5"/>
  <c r="DF69" i="5"/>
  <c r="DG69" i="5"/>
  <c r="DH69" i="5"/>
  <c r="DI69" i="5"/>
  <c r="DJ69" i="5"/>
  <c r="DK69" i="5"/>
  <c r="DL69" i="5"/>
  <c r="DM69" i="5"/>
  <c r="DN69" i="5"/>
  <c r="DO69" i="5"/>
  <c r="DP69" i="5"/>
  <c r="DQ69" i="5"/>
  <c r="DR69" i="5"/>
  <c r="DS69" i="5"/>
  <c r="DT69" i="5"/>
  <c r="DU69" i="5"/>
  <c r="DV69" i="5"/>
  <c r="DW69" i="5"/>
  <c r="DX69" i="5"/>
  <c r="CC63" i="9" l="1"/>
  <c r="CC62" i="9"/>
  <c r="DJ46" i="5"/>
  <c r="BV45" i="9"/>
  <c r="DC38" i="5"/>
  <c r="S65" i="9"/>
  <c r="S64" i="9"/>
  <c r="X44" i="5"/>
  <c r="P55" i="9"/>
  <c r="P54" i="9"/>
  <c r="F10" i="11"/>
  <c r="I22" i="11"/>
  <c r="I21" i="11"/>
  <c r="DL46" i="5"/>
  <c r="CE62" i="9"/>
  <c r="CE63" i="9"/>
  <c r="BZ55" i="9"/>
  <c r="BZ54" i="9"/>
  <c r="R61" i="9"/>
  <c r="R60" i="9"/>
  <c r="DL43" i="5"/>
  <c r="DL85" i="6"/>
  <c r="CK130" i="9"/>
  <c r="CK129" i="9"/>
  <c r="CO20" i="10"/>
  <c r="CO36" i="9"/>
  <c r="DV34" i="5"/>
  <c r="Z84" i="6"/>
  <c r="DU84" i="6"/>
  <c r="CB24" i="10"/>
  <c r="CB22" i="10"/>
  <c r="CB19" i="10"/>
  <c r="CB12" i="10"/>
  <c r="CB10" i="10"/>
  <c r="CB9" i="10"/>
  <c r="CH59" i="9"/>
  <c r="CH58" i="9"/>
  <c r="P57" i="9"/>
  <c r="P56" i="9"/>
  <c r="Z86" i="7"/>
  <c r="Z50" i="6"/>
  <c r="BX64" i="9"/>
  <c r="BX65" i="9"/>
  <c r="DE44" i="5"/>
  <c r="Z45" i="5"/>
  <c r="DU45" i="5"/>
  <c r="BY73" i="9"/>
  <c r="BY72" i="9"/>
  <c r="DE62" i="6"/>
  <c r="DE60" i="6"/>
  <c r="R20" i="10"/>
  <c r="R36" i="9"/>
  <c r="DM62" i="6"/>
  <c r="DM60" i="6"/>
  <c r="CC110" i="9"/>
  <c r="CC109" i="9"/>
  <c r="CE55" i="9"/>
  <c r="DL41" i="5"/>
  <c r="CE54" i="9"/>
  <c r="R57" i="9"/>
  <c r="R56" i="9"/>
  <c r="CP110" i="9"/>
  <c r="CP109" i="9"/>
  <c r="CC54" i="9"/>
  <c r="CC55" i="9"/>
  <c r="BV110" i="9"/>
  <c r="BV109" i="9"/>
  <c r="V88" i="6"/>
  <c r="CI61" i="9"/>
  <c r="CI60" i="9"/>
  <c r="CF64" i="9"/>
  <c r="CF65" i="9"/>
  <c r="DM44" i="5"/>
  <c r="BT110" i="9"/>
  <c r="BT109" i="9"/>
  <c r="W34" i="5"/>
  <c r="W44" i="7"/>
  <c r="CA61" i="9"/>
  <c r="CA60" i="9"/>
  <c r="L18" i="11"/>
  <c r="Y84" i="6"/>
  <c r="DQ84" i="6"/>
  <c r="CH110" i="9"/>
  <c r="CH109" i="9"/>
  <c r="U75" i="9"/>
  <c r="U91" i="9"/>
  <c r="U93" i="9"/>
  <c r="U94" i="9"/>
  <c r="DH62" i="6"/>
  <c r="DH60" i="6"/>
  <c r="V83" i="6"/>
  <c r="CO9" i="10"/>
  <c r="CO10" i="10"/>
  <c r="CO12" i="10"/>
  <c r="CO19" i="10"/>
  <c r="CO22" i="10"/>
  <c r="CO24" i="10"/>
  <c r="CL59" i="9"/>
  <c r="CL58" i="9"/>
  <c r="CN110" i="9"/>
  <c r="CN109" i="9"/>
  <c r="R9" i="10"/>
  <c r="R10" i="10"/>
  <c r="R12" i="10"/>
  <c r="R19" i="10"/>
  <c r="R22" i="10"/>
  <c r="R24" i="10"/>
  <c r="CL63" i="9"/>
  <c r="CL62" i="9"/>
  <c r="DS46" i="5"/>
  <c r="K18" i="11"/>
  <c r="U84" i="6"/>
  <c r="BV55" i="9"/>
  <c r="BV54" i="9"/>
  <c r="CP61" i="9"/>
  <c r="CP60" i="9"/>
  <c r="CQ45" i="9"/>
  <c r="DX38" i="5"/>
  <c r="CA24" i="10"/>
  <c r="CA9" i="10"/>
  <c r="CA10" i="10"/>
  <c r="CA12" i="10"/>
  <c r="CA19" i="10"/>
  <c r="CA22" i="10"/>
  <c r="Q57" i="9"/>
  <c r="Q56" i="9"/>
  <c r="P108" i="9"/>
  <c r="P107" i="9"/>
  <c r="P121" i="9"/>
  <c r="DS45" i="5"/>
  <c r="DS84" i="6"/>
  <c r="CJ130" i="9"/>
  <c r="CJ129" i="9"/>
  <c r="BU24" i="10"/>
  <c r="BU22" i="10"/>
  <c r="BU19" i="10"/>
  <c r="BU12" i="10"/>
  <c r="BU10" i="10"/>
  <c r="BU9" i="10"/>
  <c r="U57" i="6"/>
  <c r="DT74" i="7"/>
  <c r="CB87" i="6"/>
  <c r="CB85" i="6"/>
  <c r="CI115" i="9"/>
  <c r="CI116" i="9"/>
  <c r="CO55" i="9"/>
  <c r="CO54" i="9"/>
  <c r="CI55" i="9"/>
  <c r="CI54" i="9"/>
  <c r="BW130" i="9"/>
  <c r="BW129" i="9"/>
  <c r="CN20" i="10"/>
  <c r="CN36" i="9"/>
  <c r="CA130" i="9"/>
  <c r="CA129" i="9"/>
  <c r="DT85" i="6"/>
  <c r="CK63" i="9"/>
  <c r="CK62" i="9"/>
  <c r="DR46" i="5"/>
  <c r="V86" i="7"/>
  <c r="V50" i="6"/>
  <c r="BZ61" i="9"/>
  <c r="BZ60" i="9"/>
  <c r="CZ87" i="6"/>
  <c r="CZ85" i="6"/>
  <c r="CJ110" i="9"/>
  <c r="CJ109" i="9"/>
  <c r="S63" i="9"/>
  <c r="S62" i="9"/>
  <c r="R55" i="9"/>
  <c r="R54" i="9"/>
  <c r="CD73" i="9"/>
  <c r="CD72" i="9"/>
  <c r="N87" i="6"/>
  <c r="BZ87" i="6"/>
  <c r="CJ115" i="9"/>
  <c r="CJ116" i="9"/>
  <c r="CM63" i="9"/>
  <c r="DT43" i="5"/>
  <c r="DT46" i="5"/>
  <c r="CM62" i="9"/>
  <c r="T24" i="10"/>
  <c r="T9" i="10"/>
  <c r="T10" i="10"/>
  <c r="T12" i="10"/>
  <c r="T19" i="10"/>
  <c r="T22" i="10"/>
  <c r="X57" i="6"/>
  <c r="U44" i="5"/>
  <c r="P64" i="9"/>
  <c r="P65" i="9"/>
  <c r="J18" i="11"/>
  <c r="R73" i="9"/>
  <c r="R72" i="9"/>
  <c r="U57" i="9"/>
  <c r="U56" i="9"/>
  <c r="X86" i="7"/>
  <c r="X50" i="6"/>
  <c r="BY61" i="9"/>
  <c r="BY60" i="9"/>
  <c r="CD55" i="9"/>
  <c r="CD54" i="9"/>
  <c r="CQ9" i="10"/>
  <c r="CQ10" i="10"/>
  <c r="CQ12" i="10"/>
  <c r="CQ19" i="10"/>
  <c r="CQ22" i="10"/>
  <c r="CQ24" i="10"/>
  <c r="CF62" i="9"/>
  <c r="CF63" i="9"/>
  <c r="Z88" i="6"/>
  <c r="CB54" i="9"/>
  <c r="CB55" i="9"/>
  <c r="CM61" i="9"/>
  <c r="CM60" i="9"/>
  <c r="Q9" i="10"/>
  <c r="Q10" i="10"/>
  <c r="Q12" i="10"/>
  <c r="Q19" i="10"/>
  <c r="Q22" i="10"/>
  <c r="Q24" i="10"/>
  <c r="BX73" i="9"/>
  <c r="BX72" i="9"/>
  <c r="T59" i="9"/>
  <c r="T58" i="9"/>
  <c r="DN44" i="5"/>
  <c r="CG65" i="9"/>
  <c r="CG64" i="9"/>
  <c r="CM110" i="9"/>
  <c r="CM109" i="9"/>
  <c r="BZ73" i="9"/>
  <c r="BZ72" i="9"/>
  <c r="Z62" i="6"/>
  <c r="Z60" i="6"/>
  <c r="BW59" i="9"/>
  <c r="BW58" i="9"/>
  <c r="BZ115" i="9"/>
  <c r="BZ116" i="9"/>
  <c r="BZ20" i="10"/>
  <c r="DG34" i="5"/>
  <c r="BZ36" i="9"/>
  <c r="Y88" i="6"/>
  <c r="CH56" i="9"/>
  <c r="CH57" i="9"/>
  <c r="T61" i="9"/>
  <c r="T60" i="9"/>
  <c r="CH130" i="9"/>
  <c r="CH129" i="9"/>
  <c r="CM64" i="9"/>
  <c r="CM65" i="9"/>
  <c r="U48" i="7"/>
  <c r="U43" i="5"/>
  <c r="S9" i="10"/>
  <c r="S10" i="10"/>
  <c r="S12" i="10"/>
  <c r="S19" i="10"/>
  <c r="S22" i="10"/>
  <c r="S24" i="10"/>
  <c r="S61" i="9"/>
  <c r="S60" i="9"/>
  <c r="CD61" i="9"/>
  <c r="CD60" i="9"/>
  <c r="CP45" i="9"/>
  <c r="DW38" i="5"/>
  <c r="F9" i="11"/>
  <c r="I18" i="11"/>
  <c r="DK46" i="5"/>
  <c r="CD62" i="9"/>
  <c r="CD63" i="9"/>
  <c r="CL130" i="9"/>
  <c r="CL129" i="9"/>
  <c r="P24" i="10"/>
  <c r="P22" i="10"/>
  <c r="P9" i="10"/>
  <c r="P10" i="10"/>
  <c r="P12" i="10"/>
  <c r="P19" i="10"/>
  <c r="CG55" i="9"/>
  <c r="CG54" i="9"/>
  <c r="CF130" i="9"/>
  <c r="CF129" i="9"/>
  <c r="DQ62" i="6"/>
  <c r="DQ48" i="6"/>
  <c r="DQ60" i="6"/>
  <c r="BY55" i="9"/>
  <c r="BY54" i="9"/>
  <c r="CN9" i="10"/>
  <c r="CN10" i="10"/>
  <c r="CN12" i="10"/>
  <c r="CN19" i="10"/>
  <c r="CN22" i="10"/>
  <c r="CN24" i="10"/>
  <c r="DJ34" i="5"/>
  <c r="CC36" i="9"/>
  <c r="CC20" i="10"/>
  <c r="CP73" i="9"/>
  <c r="CP72" i="9"/>
  <c r="CQ63" i="9"/>
  <c r="CQ62" i="9"/>
  <c r="DX46" i="5"/>
  <c r="W85" i="6"/>
  <c r="DI85" i="6"/>
  <c r="BY20" i="10"/>
  <c r="BY36" i="9"/>
  <c r="DF34" i="5"/>
  <c r="CP55" i="9"/>
  <c r="CP54" i="9"/>
  <c r="Z57" i="6"/>
  <c r="BX110" i="9"/>
  <c r="DE48" i="6"/>
  <c r="BX109" i="9"/>
  <c r="BV115" i="9"/>
  <c r="BV116" i="9"/>
  <c r="X45" i="5"/>
  <c r="DM45" i="5"/>
  <c r="W48" i="7"/>
  <c r="W43" i="5"/>
  <c r="CD59" i="9"/>
  <c r="CD58" i="9"/>
  <c r="R65" i="9"/>
  <c r="R64" i="9"/>
  <c r="W44" i="5"/>
  <c r="CQ130" i="9"/>
  <c r="CQ129" i="9"/>
  <c r="T87" i="6"/>
  <c r="CX87" i="6"/>
  <c r="DF85" i="6"/>
  <c r="CM9" i="10"/>
  <c r="CM10" i="10"/>
  <c r="CM12" i="10"/>
  <c r="CM19" i="10"/>
  <c r="CM22" i="10"/>
  <c r="CM24" i="10"/>
  <c r="CG130" i="9"/>
  <c r="CG129" i="9"/>
  <c r="BW64" i="9"/>
  <c r="BW65" i="9"/>
  <c r="CE130" i="9"/>
  <c r="CE129" i="9"/>
  <c r="CE24" i="10"/>
  <c r="CE22" i="10"/>
  <c r="CE19" i="10"/>
  <c r="CE9" i="10"/>
  <c r="CE10" i="10"/>
  <c r="CE12" i="10"/>
  <c r="DI62" i="6"/>
  <c r="DI60" i="6"/>
  <c r="W84" i="6"/>
  <c r="DI84" i="6"/>
  <c r="DL62" i="6"/>
  <c r="DL60" i="6"/>
  <c r="BT65" i="9"/>
  <c r="BT64" i="9"/>
  <c r="V45" i="5"/>
  <c r="DE45" i="5"/>
  <c r="CH64" i="9"/>
  <c r="CH65" i="9"/>
  <c r="DO44" i="5"/>
  <c r="BN63" i="9"/>
  <c r="BN62" i="9"/>
  <c r="CU46" i="5"/>
  <c r="BZ85" i="6"/>
  <c r="N85" i="6"/>
  <c r="BZ59" i="9"/>
  <c r="BZ58" i="9"/>
  <c r="U47" i="7"/>
  <c r="CJ58" i="9"/>
  <c r="CJ59" i="9"/>
  <c r="CD56" i="9"/>
  <c r="CD57" i="9"/>
  <c r="CG115" i="9"/>
  <c r="CG116" i="9"/>
  <c r="CC130" i="9"/>
  <c r="CC129" i="9"/>
  <c r="CF24" i="10"/>
  <c r="CF22" i="10"/>
  <c r="CF19" i="10"/>
  <c r="CF9" i="10"/>
  <c r="CF10" i="10"/>
  <c r="CF12" i="10"/>
  <c r="T48" i="7"/>
  <c r="T43" i="5"/>
  <c r="CP115" i="9"/>
  <c r="CP116" i="9"/>
  <c r="DC34" i="5"/>
  <c r="BV36" i="9"/>
  <c r="BV20" i="10"/>
  <c r="V44" i="7"/>
  <c r="DG44" i="5"/>
  <c r="BZ65" i="9"/>
  <c r="BZ64" i="9"/>
  <c r="S110" i="9"/>
  <c r="S109" i="9"/>
  <c r="CF115" i="9"/>
  <c r="CF116" i="9"/>
  <c r="CI110" i="9"/>
  <c r="CI109" i="9"/>
  <c r="BV57" i="9"/>
  <c r="CB73" i="9"/>
  <c r="CB72" i="9"/>
  <c r="CF61" i="9"/>
  <c r="CF60" i="9"/>
  <c r="CB110" i="9"/>
  <c r="DI48" i="6"/>
  <c r="CB109" i="9"/>
  <c r="S116" i="9"/>
  <c r="BT24" i="10"/>
  <c r="BT22" i="10"/>
  <c r="BT9" i="10"/>
  <c r="BT10" i="10"/>
  <c r="BT12" i="10"/>
  <c r="BT19" i="10"/>
  <c r="BZ56" i="9"/>
  <c r="BZ57" i="9"/>
  <c r="T99" i="6"/>
  <c r="T98" i="6"/>
  <c r="V85" i="6"/>
  <c r="DE85" i="6"/>
  <c r="U85" i="6"/>
  <c r="DA85" i="6"/>
  <c r="BY64" i="9"/>
  <c r="BY65" i="9"/>
  <c r="DF44" i="5"/>
  <c r="CB115" i="9"/>
  <c r="CB116" i="9"/>
  <c r="DW62" i="6"/>
  <c r="DW48" i="6"/>
  <c r="DW60" i="6"/>
  <c r="DF41" i="5"/>
  <c r="DF43" i="5"/>
  <c r="DF46" i="5"/>
  <c r="BY62" i="9"/>
  <c r="BY63" i="9"/>
  <c r="CC57" i="9"/>
  <c r="BT54" i="9"/>
  <c r="BT55" i="9"/>
  <c r="Z44" i="5"/>
  <c r="U64" i="9"/>
  <c r="U65" i="9"/>
  <c r="CO59" i="9"/>
  <c r="CO58" i="9"/>
  <c r="CM45" i="9"/>
  <c r="DT38" i="5"/>
  <c r="Z48" i="6"/>
  <c r="U109" i="9"/>
  <c r="U110" i="9"/>
  <c r="CK45" i="9"/>
  <c r="DR38" i="5"/>
  <c r="DP44" i="5"/>
  <c r="CI65" i="9"/>
  <c r="CI64" i="9"/>
  <c r="CP130" i="9"/>
  <c r="CP129" i="9"/>
  <c r="DQ44" i="5"/>
  <c r="CJ65" i="9"/>
  <c r="CJ64" i="9"/>
  <c r="CU87" i="6"/>
  <c r="CU48" i="7"/>
  <c r="CU43" i="5"/>
  <c r="CU85" i="6"/>
  <c r="CK61" i="9"/>
  <c r="CK60" i="9"/>
  <c r="U130" i="9"/>
  <c r="U129" i="9"/>
  <c r="CG24" i="10"/>
  <c r="CG22" i="10"/>
  <c r="CG19" i="10"/>
  <c r="CG12" i="10"/>
  <c r="CG10" i="10"/>
  <c r="CG9" i="10"/>
  <c r="CF59" i="9"/>
  <c r="DW74" i="7"/>
  <c r="W45" i="5"/>
  <c r="DI45" i="5"/>
  <c r="DH85" i="6"/>
  <c r="CL20" i="10"/>
  <c r="CL36" i="9"/>
  <c r="DS34" i="5"/>
  <c r="BX20" i="10"/>
  <c r="BX36" i="9"/>
  <c r="BW20" i="10"/>
  <c r="DD34" i="5"/>
  <c r="BW36" i="9"/>
  <c r="CZ98" i="6"/>
  <c r="CZ99" i="6"/>
  <c r="Q110" i="9"/>
  <c r="Q109" i="9"/>
  <c r="U13" i="5"/>
  <c r="U15" i="5"/>
  <c r="U33" i="5"/>
  <c r="U37" i="5"/>
  <c r="U39" i="5"/>
  <c r="U41" i="5"/>
  <c r="I17" i="11"/>
  <c r="J17" i="11"/>
  <c r="K17" i="11"/>
  <c r="L17" i="11"/>
  <c r="M17" i="11"/>
  <c r="M18" i="11"/>
  <c r="W109" i="6"/>
  <c r="R63" i="9"/>
  <c r="R62" i="9"/>
  <c r="Y62" i="6"/>
  <c r="Y60" i="6"/>
  <c r="CL64" i="9"/>
  <c r="DS44" i="5"/>
  <c r="CL65" i="9"/>
  <c r="DN62" i="6"/>
  <c r="DN60" i="6"/>
  <c r="Z85" i="6"/>
  <c r="DU85" i="6"/>
  <c r="DP34" i="5"/>
  <c r="CI36" i="9"/>
  <c r="CI20" i="10"/>
  <c r="U50" i="6"/>
  <c r="U86" i="7"/>
  <c r="CX85" i="6"/>
  <c r="T85" i="6"/>
  <c r="S73" i="9"/>
  <c r="S72" i="9"/>
  <c r="CO115" i="9"/>
  <c r="CO116" i="9"/>
  <c r="CK54" i="9"/>
  <c r="CK55" i="9"/>
  <c r="BV61" i="9"/>
  <c r="BV60" i="9"/>
  <c r="CO56" i="9"/>
  <c r="CO57" i="9"/>
  <c r="CN64" i="9"/>
  <c r="CN65" i="9"/>
  <c r="DU44" i="5"/>
  <c r="W62" i="6"/>
  <c r="W60" i="6"/>
  <c r="BW45" i="9"/>
  <c r="DD38" i="5"/>
  <c r="BU55" i="9"/>
  <c r="BU54" i="9"/>
  <c r="BV21" i="10"/>
  <c r="DC36" i="5"/>
  <c r="BV40" i="9"/>
  <c r="BV80" i="9"/>
  <c r="CL61" i="9"/>
  <c r="CL60" i="9"/>
  <c r="CC56" i="9"/>
  <c r="CC58" i="9"/>
  <c r="CC59" i="9"/>
  <c r="DJ48" i="6"/>
  <c r="DJ60" i="6"/>
  <c r="DJ62" i="6"/>
  <c r="CB130" i="9"/>
  <c r="CB129" i="9"/>
  <c r="DE34" i="5"/>
  <c r="V34" i="5"/>
  <c r="Q36" i="9"/>
  <c r="Q20" i="10"/>
  <c r="CB62" i="9"/>
  <c r="CB63" i="9"/>
  <c r="CO73" i="9"/>
  <c r="CO72" i="9"/>
  <c r="DX34" i="5"/>
  <c r="CQ36" i="9"/>
  <c r="CQ20" i="10"/>
  <c r="DJ74" i="7"/>
  <c r="CA115" i="9"/>
  <c r="CA116" i="9"/>
  <c r="BW56" i="9"/>
  <c r="BW57" i="9"/>
  <c r="BV56" i="9"/>
  <c r="BV58" i="9"/>
  <c r="BV59" i="9"/>
  <c r="CH9" i="10"/>
  <c r="CH10" i="10"/>
  <c r="CH12" i="10"/>
  <c r="CH19" i="10"/>
  <c r="CH22" i="10"/>
  <c r="CH24" i="10"/>
  <c r="CD9" i="10"/>
  <c r="CD10" i="10"/>
  <c r="CD12" i="10"/>
  <c r="CD19" i="10"/>
  <c r="CD22" i="10"/>
  <c r="CD24" i="10"/>
  <c r="P130" i="9"/>
  <c r="P129" i="9"/>
  <c r="Y85" i="6"/>
  <c r="DQ85" i="6"/>
  <c r="DK41" i="5"/>
  <c r="DK43" i="5"/>
  <c r="DK85" i="6"/>
  <c r="BZ110" i="9"/>
  <c r="BZ109" i="9"/>
  <c r="CQ73" i="9"/>
  <c r="CQ72" i="9"/>
  <c r="DD45" i="5"/>
  <c r="DD84" i="6"/>
  <c r="DJ41" i="5"/>
  <c r="DJ43" i="5"/>
  <c r="DJ85" i="6"/>
  <c r="CB20" i="10"/>
  <c r="DI34" i="5"/>
  <c r="CB36" i="9"/>
  <c r="CG61" i="9"/>
  <c r="CG60" i="9"/>
  <c r="BU20" i="10"/>
  <c r="BU36" i="9"/>
  <c r="DA62" i="6"/>
  <c r="DA48" i="6"/>
  <c r="DA60" i="6"/>
  <c r="DI74" i="7"/>
  <c r="Q130" i="9"/>
  <c r="Q129" i="9"/>
  <c r="DG74" i="7"/>
  <c r="DL74" i="7"/>
  <c r="BY110" i="9"/>
  <c r="BY109" i="9"/>
  <c r="CG59" i="9"/>
  <c r="CG58" i="9"/>
  <c r="DF45" i="5"/>
  <c r="DF84" i="6"/>
  <c r="CF58" i="9"/>
  <c r="S58" i="9"/>
  <c r="S59" i="9"/>
  <c r="DX45" i="5"/>
  <c r="DX84" i="6"/>
  <c r="BW73" i="9"/>
  <c r="BW72" i="9"/>
  <c r="DQ74" i="7"/>
  <c r="DA45" i="5"/>
  <c r="U45" i="5"/>
  <c r="Y109" i="6"/>
  <c r="DV74" i="7"/>
  <c r="CL54" i="9"/>
  <c r="CL55" i="9"/>
  <c r="X37" i="5"/>
  <c r="X39" i="5"/>
  <c r="X41" i="5"/>
  <c r="DN46" i="5"/>
  <c r="CG62" i="9"/>
  <c r="CG63" i="9"/>
  <c r="U83" i="6"/>
  <c r="U116" i="9"/>
  <c r="U115" i="9"/>
  <c r="Z67" i="5"/>
  <c r="Z63" i="5"/>
  <c r="CG20" i="10"/>
  <c r="CG36" i="9"/>
  <c r="DN34" i="5"/>
  <c r="CN57" i="9"/>
  <c r="X48" i="7"/>
  <c r="X43" i="5"/>
  <c r="X84" i="6"/>
  <c r="DM84" i="6"/>
  <c r="DR41" i="5"/>
  <c r="DR43" i="5"/>
  <c r="DR85" i="6"/>
  <c r="P115" i="9"/>
  <c r="P116" i="9"/>
  <c r="P110" i="9"/>
  <c r="P109" i="9"/>
  <c r="Z83" i="6"/>
  <c r="CL73" i="9"/>
  <c r="CL72" i="9"/>
  <c r="CK59" i="9"/>
  <c r="CK58" i="9"/>
  <c r="CD115" i="9"/>
  <c r="CD116" i="9"/>
  <c r="CN73" i="9"/>
  <c r="CN72" i="9"/>
  <c r="T63" i="9"/>
  <c r="T62" i="9"/>
  <c r="DL34" i="5"/>
  <c r="CE36" i="9"/>
  <c r="CE20" i="10"/>
  <c r="DS41" i="5"/>
  <c r="DS43" i="5"/>
  <c r="DS85" i="6"/>
  <c r="CJ61" i="9"/>
  <c r="CJ60" i="9"/>
  <c r="DW44" i="5"/>
  <c r="CP65" i="9"/>
  <c r="CP64" i="9"/>
  <c r="BZ9" i="10"/>
  <c r="BZ10" i="10"/>
  <c r="BZ12" i="10"/>
  <c r="BZ19" i="10"/>
  <c r="BZ22" i="10"/>
  <c r="BZ24" i="10"/>
  <c r="U9" i="10"/>
  <c r="U10" i="10"/>
  <c r="U12" i="10"/>
  <c r="U19" i="10"/>
  <c r="U22" i="10"/>
  <c r="U24" i="10"/>
  <c r="CD20" i="10"/>
  <c r="CD36" i="9"/>
  <c r="DK34" i="5"/>
  <c r="DO48" i="6"/>
  <c r="DO60" i="6"/>
  <c r="DO62" i="6"/>
  <c r="DX44" i="5"/>
  <c r="CQ65" i="9"/>
  <c r="CQ64" i="9"/>
  <c r="BX57" i="9"/>
  <c r="Q55" i="9"/>
  <c r="Q54" i="9"/>
  <c r="DG84" i="6"/>
  <c r="DG45" i="5"/>
  <c r="CD110" i="9"/>
  <c r="CD109" i="9"/>
  <c r="DH43" i="5"/>
  <c r="DH46" i="5"/>
  <c r="CA62" i="9"/>
  <c r="CA63" i="9"/>
  <c r="CF57" i="9"/>
  <c r="CF20" i="10"/>
  <c r="CF36" i="9"/>
  <c r="BW55" i="9"/>
  <c r="BW54" i="9"/>
  <c r="Y86" i="7"/>
  <c r="Y50" i="6"/>
  <c r="CI130" i="9"/>
  <c r="CI129" i="9"/>
  <c r="U63" i="9"/>
  <c r="U62" i="9"/>
  <c r="CA45" i="9"/>
  <c r="DH38" i="5"/>
  <c r="X74" i="7"/>
  <c r="CI112" i="9"/>
  <c r="CI147" i="9"/>
  <c r="CI123" i="9"/>
  <c r="CF56" i="9"/>
  <c r="S56" i="9"/>
  <c r="S57" i="9"/>
  <c r="Z69" i="5"/>
  <c r="Z70" i="5"/>
  <c r="Z22" i="7"/>
  <c r="DW46" i="5"/>
  <c r="CP62" i="9"/>
  <c r="CP63" i="9"/>
  <c r="Z47" i="7"/>
  <c r="BY130" i="9"/>
  <c r="BY129" i="9"/>
  <c r="S85" i="6"/>
  <c r="CK73" i="9"/>
  <c r="CK72" i="9"/>
  <c r="CK115" i="9"/>
  <c r="CK116" i="9"/>
  <c r="U72" i="7"/>
  <c r="X109" i="6"/>
  <c r="T55" i="9"/>
  <c r="T54" i="9"/>
  <c r="DR45" i="5"/>
  <c r="DR84" i="6"/>
  <c r="DJ44" i="5"/>
  <c r="CC65" i="9"/>
  <c r="CC64" i="9"/>
  <c r="DP48" i="6"/>
  <c r="DP60" i="6"/>
  <c r="DP62" i="6"/>
  <c r="Y46" i="5"/>
  <c r="DQ45" i="5"/>
  <c r="Y45" i="5"/>
  <c r="CJ54" i="9"/>
  <c r="CJ55" i="9"/>
  <c r="DR37" i="5"/>
  <c r="DR39" i="5"/>
  <c r="CK56" i="9"/>
  <c r="CK57" i="9"/>
  <c r="CP9" i="10"/>
  <c r="CP10" i="10"/>
  <c r="CP12" i="10"/>
  <c r="CP19" i="10"/>
  <c r="CP22" i="10"/>
  <c r="CP24" i="10"/>
  <c r="DE74" i="7"/>
  <c r="CQ116" i="9"/>
  <c r="CQ115" i="9"/>
  <c r="DX67" i="5"/>
  <c r="DX63" i="5"/>
  <c r="DC72" i="7"/>
  <c r="Y45" i="7"/>
  <c r="CH115" i="9"/>
  <c r="CH116" i="9"/>
  <c r="Q73" i="9"/>
  <c r="Q72" i="9"/>
  <c r="CN62" i="9"/>
  <c r="CN63" i="9"/>
  <c r="BX123" i="9"/>
  <c r="BX112" i="9"/>
  <c r="BX147" i="9"/>
  <c r="CJ23" i="10"/>
  <c r="CI111" i="9"/>
  <c r="CJ137" i="9"/>
  <c r="CJ138" i="9"/>
  <c r="CI45" i="9"/>
  <c r="DP38" i="5"/>
  <c r="BX130" i="9"/>
  <c r="BX129" i="9"/>
  <c r="DN74" i="7"/>
  <c r="Y41" i="5"/>
  <c r="Y39" i="5"/>
  <c r="Y37" i="5"/>
  <c r="Z41" i="5"/>
  <c r="Z13" i="5"/>
  <c r="Z15" i="5"/>
  <c r="Z33" i="5"/>
  <c r="Z37" i="5"/>
  <c r="Z39" i="5"/>
  <c r="T73" i="9"/>
  <c r="T72" i="9"/>
  <c r="CA87" i="6"/>
  <c r="CA85" i="6"/>
  <c r="BU59" i="9"/>
  <c r="BU58" i="9"/>
  <c r="CC116" i="9"/>
  <c r="CA20" i="10"/>
  <c r="CA36" i="9"/>
  <c r="DH34" i="5"/>
  <c r="DC74" i="7"/>
  <c r="BW138" i="9"/>
  <c r="BW137" i="9"/>
  <c r="BW23" i="10"/>
  <c r="BU80" i="9"/>
  <c r="DB36" i="5"/>
  <c r="BU40" i="9"/>
  <c r="BU21" i="10"/>
  <c r="BV108" i="9"/>
  <c r="BV107" i="9"/>
  <c r="BV121" i="9"/>
  <c r="DW41" i="5"/>
  <c r="DW43" i="5"/>
  <c r="DW85" i="6"/>
  <c r="DJ45" i="5"/>
  <c r="DJ37" i="5"/>
  <c r="DJ39" i="5"/>
  <c r="DJ84" i="6"/>
  <c r="CG75" i="9"/>
  <c r="CG91" i="9"/>
  <c r="CG93" i="9"/>
  <c r="CG94" i="9"/>
  <c r="Q121" i="9"/>
  <c r="Q107" i="9"/>
  <c r="Q108" i="9"/>
  <c r="CH138" i="9"/>
  <c r="CH137" i="9"/>
  <c r="CH23" i="10"/>
  <c r="CH55" i="9"/>
  <c r="CH54" i="9"/>
  <c r="CJ75" i="9"/>
  <c r="CJ91" i="9"/>
  <c r="CJ93" i="9"/>
  <c r="CJ94" i="9"/>
  <c r="DK74" i="7"/>
  <c r="CF73" i="9"/>
  <c r="CF72" i="9"/>
  <c r="BV73" i="9"/>
  <c r="BV72" i="9"/>
  <c r="CV87" i="6"/>
  <c r="CV85" i="6"/>
  <c r="Y68" i="5"/>
  <c r="DV44" i="5"/>
  <c r="CO65" i="9"/>
  <c r="CO64" i="9"/>
  <c r="U73" i="9"/>
  <c r="U72" i="9"/>
  <c r="DW34" i="5"/>
  <c r="CP36" i="9"/>
  <c r="CP20" i="10"/>
  <c r="CP21" i="10"/>
  <c r="DW36" i="5"/>
  <c r="CP40" i="9"/>
  <c r="CP80" i="9"/>
  <c r="V72" i="7"/>
  <c r="BX75" i="9"/>
  <c r="BX91" i="9"/>
  <c r="BX93" i="9"/>
  <c r="BX94" i="9"/>
  <c r="DO74" i="7"/>
  <c r="DA74" i="7"/>
  <c r="X68" i="5"/>
  <c r="BY23" i="10"/>
  <c r="BY137" i="9"/>
  <c r="BY138" i="9"/>
  <c r="CE73" i="9"/>
  <c r="CE72" i="9"/>
  <c r="CP121" i="9"/>
  <c r="CP107" i="9"/>
  <c r="CP108" i="9"/>
  <c r="CH61" i="9"/>
  <c r="CH60" i="9"/>
  <c r="W88" i="6"/>
  <c r="CL94" i="9"/>
  <c r="CL91" i="9"/>
  <c r="CL93" i="9"/>
  <c r="CL75" i="9"/>
  <c r="BT130" i="9"/>
  <c r="BT129" i="9"/>
  <c r="BX54" i="9"/>
  <c r="BX55" i="9"/>
  <c r="DC45" i="5"/>
  <c r="DC84" i="6"/>
  <c r="Y13" i="5"/>
  <c r="Y15" i="5"/>
  <c r="Y33" i="5"/>
  <c r="Y47" i="7"/>
  <c r="CA55" i="9"/>
  <c r="DH41" i="5"/>
  <c r="CA54" i="9"/>
  <c r="BU56" i="9"/>
  <c r="BU57" i="9"/>
  <c r="CC73" i="9"/>
  <c r="CC72" i="9"/>
  <c r="DE72" i="7"/>
  <c r="DX43" i="5"/>
  <c r="DX85" i="6"/>
  <c r="BV123" i="9"/>
  <c r="BV147" i="9"/>
  <c r="BV111" i="9"/>
  <c r="BV112" i="9"/>
  <c r="CC115" i="9"/>
  <c r="CD129" i="9"/>
  <c r="CD130" i="9"/>
  <c r="DS37" i="5"/>
  <c r="DS39" i="5"/>
  <c r="CL56" i="9"/>
  <c r="CL57" i="9"/>
  <c r="BY59" i="9"/>
  <c r="BY58" i="9"/>
  <c r="BU110" i="9"/>
  <c r="BU109" i="9"/>
  <c r="CE115" i="9"/>
  <c r="CE116" i="9"/>
  <c r="CM130" i="9"/>
  <c r="CM129" i="9"/>
  <c r="V74" i="7"/>
  <c r="CE45" i="9"/>
  <c r="DL38" i="5"/>
  <c r="T21" i="10"/>
  <c r="Y36" i="5"/>
  <c r="T40" i="9"/>
  <c r="T80" i="9"/>
  <c r="BX138" i="9"/>
  <c r="BX137" i="9"/>
  <c r="BX23" i="10"/>
  <c r="DP46" i="5"/>
  <c r="CI62" i="9"/>
  <c r="CI63" i="9"/>
  <c r="P75" i="9"/>
  <c r="P91" i="9"/>
  <c r="P93" i="9"/>
  <c r="P94" i="9"/>
  <c r="BY21" i="10"/>
  <c r="DF36" i="5"/>
  <c r="BY40" i="9"/>
  <c r="BY80" i="9"/>
  <c r="DN45" i="5"/>
  <c r="DN84" i="6"/>
  <c r="X63" i="5"/>
  <c r="X67" i="5"/>
  <c r="S115" i="9"/>
  <c r="T129" i="9"/>
  <c r="T130" i="9"/>
  <c r="DO84" i="6"/>
  <c r="DO45" i="5"/>
  <c r="BV75" i="9"/>
  <c r="BV91" i="9"/>
  <c r="BV93" i="9"/>
  <c r="BV94" i="9"/>
  <c r="DW37" i="6"/>
  <c r="DW72" i="7"/>
  <c r="DV60" i="6"/>
  <c r="DV62" i="6"/>
  <c r="X13" i="5"/>
  <c r="X15" i="5"/>
  <c r="X33" i="5"/>
  <c r="X47" i="7"/>
  <c r="DR62" i="6"/>
  <c r="DR60" i="6"/>
  <c r="DN41" i="5"/>
  <c r="DN43" i="5"/>
  <c r="DN85" i="6"/>
  <c r="BY75" i="9"/>
  <c r="BY91" i="9"/>
  <c r="BY93" i="9"/>
  <c r="BY94" i="9"/>
  <c r="BX111" i="9"/>
  <c r="BX60" i="9"/>
  <c r="BX61" i="9"/>
  <c r="CG147" i="9"/>
  <c r="CG112" i="9"/>
  <c r="CG111" i="9"/>
  <c r="CG123" i="9"/>
  <c r="DM74" i="7"/>
  <c r="Z48" i="7"/>
  <c r="Z43" i="5"/>
  <c r="AT63" i="9"/>
  <c r="CA48" i="7"/>
  <c r="CA43" i="5"/>
  <c r="CA46" i="5"/>
  <c r="AT62" i="9"/>
  <c r="CK24" i="10"/>
  <c r="CK22" i="10"/>
  <c r="CK19" i="10"/>
  <c r="CK12" i="10"/>
  <c r="CK10" i="10"/>
  <c r="CK9" i="10"/>
  <c r="DX62" i="6"/>
  <c r="DX60" i="6"/>
  <c r="BT61" i="9"/>
  <c r="BT60" i="9"/>
  <c r="DB45" i="5"/>
  <c r="DB84" i="6"/>
  <c r="BU61" i="9"/>
  <c r="BU60" i="9"/>
  <c r="DC46" i="5"/>
  <c r="BV62" i="9"/>
  <c r="BV63" i="9"/>
  <c r="DQ72" i="7"/>
  <c r="DU46" i="5"/>
  <c r="Z46" i="5"/>
  <c r="BT57" i="9"/>
  <c r="CG45" i="9"/>
  <c r="DN38" i="5"/>
  <c r="CZ104" i="6"/>
  <c r="BW61" i="9"/>
  <c r="BW60" i="9"/>
  <c r="DF37" i="5"/>
  <c r="DF39" i="5"/>
  <c r="BY56" i="9"/>
  <c r="BY57" i="9"/>
  <c r="DF62" i="6"/>
  <c r="DF48" i="6"/>
  <c r="DF60" i="6"/>
  <c r="Y74" i="7"/>
  <c r="CH20" i="10"/>
  <c r="CH36" i="9"/>
  <c r="DO34" i="5"/>
  <c r="CE64" i="9"/>
  <c r="DL44" i="5"/>
  <c r="CE65" i="9"/>
  <c r="U55" i="9"/>
  <c r="U54" i="9"/>
  <c r="CO63" i="9"/>
  <c r="CO62" i="9"/>
  <c r="DV46" i="5"/>
  <c r="R110" i="9"/>
  <c r="W48" i="6"/>
  <c r="R109" i="9"/>
  <c r="CC24" i="10"/>
  <c r="CC22" i="10"/>
  <c r="CC9" i="10"/>
  <c r="CC10" i="10"/>
  <c r="CC12" i="10"/>
  <c r="CC19" i="10"/>
  <c r="P20" i="10"/>
  <c r="P36" i="9"/>
  <c r="CD45" i="9"/>
  <c r="DK38" i="5"/>
  <c r="CC61" i="9"/>
  <c r="CC60" i="9"/>
  <c r="CH73" i="9"/>
  <c r="CH72" i="9"/>
  <c r="CB64" i="9"/>
  <c r="CB65" i="9"/>
  <c r="DI44" i="5"/>
  <c r="DL72" i="7"/>
  <c r="DH74" i="7"/>
  <c r="N63" i="9"/>
  <c r="N62" i="9"/>
  <c r="DK62" i="6"/>
  <c r="DK48" i="6"/>
  <c r="DK60" i="6"/>
  <c r="F32" i="11"/>
  <c r="F28" i="11"/>
  <c r="F29" i="11"/>
  <c r="C15" i="11"/>
  <c r="F31" i="11"/>
  <c r="F30" i="11"/>
  <c r="DN37" i="5"/>
  <c r="DN39" i="5"/>
  <c r="CG56" i="9"/>
  <c r="CG57" i="9"/>
  <c r="DE84" i="6"/>
  <c r="V84" i="6"/>
  <c r="CO45" i="9"/>
  <c r="DV38" i="5"/>
  <c r="U37" i="6"/>
  <c r="U48" i="6"/>
  <c r="U60" i="6"/>
  <c r="U62" i="6"/>
  <c r="Z68" i="5"/>
  <c r="DK84" i="6"/>
  <c r="DK37" i="5"/>
  <c r="DK39" i="5"/>
  <c r="DK45" i="5"/>
  <c r="CI59" i="9"/>
  <c r="CI58" i="9"/>
  <c r="CO130" i="9"/>
  <c r="CO129" i="9"/>
  <c r="BW9" i="10"/>
  <c r="BW10" i="10"/>
  <c r="BW12" i="10"/>
  <c r="BW19" i="10"/>
  <c r="BW22" i="10"/>
  <c r="BW24" i="10"/>
  <c r="DU74" i="7"/>
  <c r="CK112" i="9"/>
  <c r="CK123" i="9"/>
  <c r="CK147" i="9"/>
  <c r="V48" i="7"/>
  <c r="V43" i="5"/>
  <c r="DM72" i="7"/>
  <c r="CA59" i="9"/>
  <c r="CA58" i="9"/>
  <c r="V44" i="5"/>
  <c r="Q64" i="9"/>
  <c r="Q65" i="9"/>
  <c r="CM59" i="9"/>
  <c r="CM58" i="9"/>
  <c r="DT41" i="5"/>
  <c r="CM54" i="9"/>
  <c r="CM55" i="9"/>
  <c r="DI46" i="5"/>
  <c r="W46" i="5"/>
  <c r="X88" i="6"/>
  <c r="BT72" i="9"/>
  <c r="BT73" i="9"/>
  <c r="DM48" i="6"/>
  <c r="CF109" i="9"/>
  <c r="CF110" i="9"/>
  <c r="CB45" i="9"/>
  <c r="DT72" i="7"/>
  <c r="S75" i="9"/>
  <c r="S91" i="9"/>
  <c r="S93" i="9"/>
  <c r="S94" i="9"/>
  <c r="BV130" i="9"/>
  <c r="BV129" i="9"/>
  <c r="DB38" i="5"/>
  <c r="BU45" i="9"/>
  <c r="BU73" i="9"/>
  <c r="BU72" i="9"/>
  <c r="DC13" i="5"/>
  <c r="DC15" i="5"/>
  <c r="DC33" i="5"/>
  <c r="DC37" i="5"/>
  <c r="DC39" i="5"/>
  <c r="DC41" i="5"/>
  <c r="DC43" i="5"/>
  <c r="DC85" i="6"/>
  <c r="BV9" i="10"/>
  <c r="BV10" i="10"/>
  <c r="BV12" i="10"/>
  <c r="BV19" i="10"/>
  <c r="BV22" i="10"/>
  <c r="BV24" i="10"/>
  <c r="W47" i="7"/>
  <c r="U74" i="7"/>
  <c r="S55" i="9"/>
  <c r="S54" i="9"/>
  <c r="CI56" i="9"/>
  <c r="CI57" i="9"/>
  <c r="DX74" i="7"/>
  <c r="C19" i="11"/>
  <c r="CL138" i="9"/>
  <c r="CK111" i="9"/>
  <c r="CL137" i="9"/>
  <c r="CL23" i="10"/>
  <c r="DG85" i="6"/>
  <c r="DQ46" i="5"/>
  <c r="CJ62" i="9"/>
  <c r="CJ63" i="9"/>
  <c r="CA56" i="9"/>
  <c r="CA57" i="9"/>
  <c r="U46" i="5"/>
  <c r="DB44" i="5"/>
  <c r="BU65" i="9"/>
  <c r="BU64" i="9"/>
  <c r="DR44" i="5"/>
  <c r="CK65" i="9"/>
  <c r="CK64" i="9"/>
  <c r="CM56" i="9"/>
  <c r="CM57" i="9"/>
  <c r="S48" i="7"/>
  <c r="S43" i="5"/>
  <c r="S46" i="5"/>
  <c r="CM108" i="9"/>
  <c r="CM107" i="9"/>
  <c r="CM121" i="9"/>
  <c r="R59" i="9"/>
  <c r="R58" i="9"/>
  <c r="CK21" i="10"/>
  <c r="DR13" i="5"/>
  <c r="DR15" i="5"/>
  <c r="DR33" i="5"/>
  <c r="DR36" i="5"/>
  <c r="CK40" i="9"/>
  <c r="CK80" i="9"/>
  <c r="DU72" i="7"/>
  <c r="CF45" i="9"/>
  <c r="CD21" i="10"/>
  <c r="DK13" i="5"/>
  <c r="DK15" i="5"/>
  <c r="DK33" i="5"/>
  <c r="DK36" i="5"/>
  <c r="CD40" i="9"/>
  <c r="CD80" i="9"/>
  <c r="CB80" i="9"/>
  <c r="CB40" i="9"/>
  <c r="CB21" i="10"/>
  <c r="BX63" i="9"/>
  <c r="CN68" i="9"/>
  <c r="CN69" i="9"/>
  <c r="CN88" i="9"/>
  <c r="CN24" i="9"/>
  <c r="CN34" i="9"/>
  <c r="CN38" i="9"/>
  <c r="CN43" i="9"/>
  <c r="CN47" i="9"/>
  <c r="CN51" i="9"/>
  <c r="T123" i="9"/>
  <c r="T112" i="9"/>
  <c r="T147" i="9"/>
  <c r="CD23" i="10"/>
  <c r="CD137" i="9"/>
  <c r="CD138" i="9"/>
  <c r="U61" i="9"/>
  <c r="U60" i="9"/>
  <c r="C13" i="11"/>
  <c r="M25" i="11"/>
  <c r="M26" i="11"/>
  <c r="M28" i="11"/>
  <c r="DV45" i="5"/>
  <c r="DV84" i="6"/>
  <c r="DF74" i="7"/>
  <c r="DT44" i="5"/>
  <c r="Y44" i="5"/>
  <c r="T64" i="9"/>
  <c r="T65" i="9"/>
  <c r="BT20" i="10"/>
  <c r="BT45" i="9"/>
  <c r="DD44" i="5"/>
  <c r="C20" i="11"/>
  <c r="C21" i="11"/>
  <c r="CF54" i="9"/>
  <c r="CF55" i="9"/>
  <c r="Y63" i="5"/>
  <c r="Y67" i="5"/>
  <c r="T115" i="9"/>
  <c r="T116" i="9"/>
  <c r="DH84" i="6"/>
  <c r="DH37" i="5"/>
  <c r="DH39" i="5"/>
  <c r="DH45" i="5"/>
  <c r="Z74" i="7"/>
  <c r="DT45" i="5"/>
  <c r="DT37" i="5"/>
  <c r="DT39" i="5"/>
  <c r="DT84" i="6"/>
  <c r="DR48" i="6"/>
  <c r="CK109" i="9"/>
  <c r="CK110" i="9"/>
  <c r="DT34" i="5"/>
  <c r="CM36" i="9"/>
  <c r="CM20" i="10"/>
  <c r="W74" i="7"/>
  <c r="U68" i="5"/>
  <c r="U36" i="6"/>
  <c r="U63" i="5"/>
  <c r="U67" i="5"/>
  <c r="V68" i="5"/>
  <c r="DX48" i="6"/>
  <c r="CQ109" i="9"/>
  <c r="CQ110" i="9"/>
  <c r="S108" i="9"/>
  <c r="S107" i="9"/>
  <c r="S121" i="9"/>
  <c r="CB58" i="9"/>
  <c r="CB59" i="9"/>
  <c r="CN108" i="9"/>
  <c r="CN107" i="9"/>
  <c r="CN121" i="9"/>
  <c r="CL80" i="9"/>
  <c r="DS36" i="5"/>
  <c r="CL40" i="9"/>
  <c r="CL21" i="10"/>
  <c r="BT51" i="9"/>
  <c r="BT88" i="9"/>
  <c r="BT69" i="9"/>
  <c r="BT24" i="9"/>
  <c r="BT34" i="9"/>
  <c r="BT38" i="9"/>
  <c r="BT43" i="9"/>
  <c r="BT47" i="9"/>
  <c r="BT68" i="9"/>
  <c r="CC138" i="9"/>
  <c r="CC137" i="9"/>
  <c r="CC23" i="10"/>
  <c r="BX62" i="9"/>
  <c r="Q62" i="9"/>
  <c r="Q63" i="9"/>
  <c r="U23" i="10"/>
  <c r="Y58" i="6"/>
  <c r="T111" i="9"/>
  <c r="U137" i="9"/>
  <c r="U138" i="9"/>
  <c r="DL48" i="6"/>
  <c r="CE109" i="9"/>
  <c r="CE110" i="9"/>
  <c r="V37" i="5"/>
  <c r="V39" i="5"/>
  <c r="V41" i="5"/>
  <c r="V37" i="6"/>
  <c r="V48" i="6"/>
  <c r="V60" i="6"/>
  <c r="V62" i="6"/>
  <c r="BW115" i="9"/>
  <c r="BW116" i="9"/>
  <c r="W13" i="5"/>
  <c r="W15" i="5"/>
  <c r="W33" i="5"/>
  <c r="W37" i="5"/>
  <c r="W39" i="5"/>
  <c r="W41" i="5"/>
  <c r="DU37" i="6"/>
  <c r="DU48" i="6"/>
  <c r="DU60" i="6"/>
  <c r="DU62" i="6"/>
  <c r="DK44" i="5"/>
  <c r="CD65" i="9"/>
  <c r="CD64" i="9"/>
  <c r="I10" i="11"/>
  <c r="I12" i="11"/>
  <c r="F8" i="11"/>
  <c r="F11" i="11"/>
  <c r="C8" i="11"/>
  <c r="C10" i="11"/>
  <c r="Z45" i="7"/>
  <c r="U109" i="6"/>
  <c r="U123" i="9"/>
  <c r="U147" i="9"/>
  <c r="Z58" i="6"/>
  <c r="U111" i="9"/>
  <c r="U112" i="9"/>
  <c r="DP84" i="6"/>
  <c r="DP45" i="5"/>
  <c r="DO85" i="6"/>
  <c r="CE61" i="9"/>
  <c r="CE60" i="9"/>
  <c r="DG37" i="5"/>
  <c r="DG39" i="5"/>
  <c r="DG41" i="5"/>
  <c r="DG43" i="5"/>
  <c r="DG46" i="5"/>
  <c r="BZ62" i="9"/>
  <c r="BZ63" i="9"/>
  <c r="CN115" i="9"/>
  <c r="CN116" i="9"/>
  <c r="M11" i="11"/>
  <c r="DU43" i="5"/>
  <c r="M10" i="11"/>
  <c r="M12" i="11"/>
  <c r="BW109" i="9"/>
  <c r="BW110" i="9"/>
  <c r="DO37" i="5"/>
  <c r="DO39" i="5"/>
  <c r="DO41" i="5"/>
  <c r="DO43" i="5"/>
  <c r="DO46" i="5"/>
  <c r="CH62" i="9"/>
  <c r="CH63" i="9"/>
  <c r="Y43" i="5"/>
  <c r="Y48" i="7"/>
  <c r="DM46" i="5"/>
  <c r="X46" i="5"/>
  <c r="CB56" i="9"/>
  <c r="CB57" i="9"/>
  <c r="CN75" i="9"/>
  <c r="CN91" i="9"/>
  <c r="CN93" i="9"/>
  <c r="CN94" i="9"/>
  <c r="X46" i="7"/>
  <c r="DM38" i="5"/>
  <c r="X38" i="5"/>
  <c r="S45" i="9"/>
  <c r="BY121" i="9"/>
  <c r="BY107" i="9"/>
  <c r="BY108" i="9"/>
  <c r="CO75" i="9"/>
  <c r="CO91" i="9"/>
  <c r="CO93" i="9"/>
  <c r="CO94" i="9"/>
  <c r="T68" i="9"/>
  <c r="T88" i="9"/>
  <c r="T51" i="9"/>
  <c r="T24" i="9"/>
  <c r="T34" i="9"/>
  <c r="T38" i="9"/>
  <c r="T43" i="9"/>
  <c r="T47" i="9"/>
  <c r="T69" i="9"/>
  <c r="U45" i="7"/>
  <c r="BT116" i="9"/>
  <c r="P21" i="10"/>
  <c r="U36" i="5"/>
  <c r="P40" i="9"/>
  <c r="P80" i="9"/>
  <c r="DO72" i="7"/>
  <c r="BT115" i="9"/>
  <c r="BU129" i="9"/>
  <c r="BU130" i="9"/>
  <c r="CI21" i="10"/>
  <c r="DP36" i="5"/>
  <c r="CI40" i="9"/>
  <c r="CI80" i="9"/>
  <c r="CL115" i="9"/>
  <c r="CL116" i="9"/>
  <c r="CZ103" i="6"/>
  <c r="T103" i="6"/>
  <c r="T104" i="6"/>
  <c r="BX115" i="9"/>
  <c r="BX116" i="9"/>
  <c r="R116" i="9"/>
  <c r="L12" i="11"/>
  <c r="DQ41" i="5"/>
  <c r="DQ43" i="5"/>
  <c r="L10" i="11"/>
  <c r="L11" i="11"/>
  <c r="P59" i="9"/>
  <c r="P58" i="9"/>
  <c r="F22" i="11"/>
  <c r="CT85" i="6"/>
  <c r="CT87" i="6"/>
  <c r="S87" i="6"/>
  <c r="DV48" i="6"/>
  <c r="CO109" i="9"/>
  <c r="CO110" i="9"/>
  <c r="BX9" i="10"/>
  <c r="BX10" i="10"/>
  <c r="BX12" i="10"/>
  <c r="BX19" i="10"/>
  <c r="BX22" i="10"/>
  <c r="BX24" i="10"/>
  <c r="DV37" i="5"/>
  <c r="DV39" i="5"/>
  <c r="DV41" i="5"/>
  <c r="DV43" i="5"/>
  <c r="DV85" i="6"/>
  <c r="DD74" i="7"/>
  <c r="CN59" i="9"/>
  <c r="T109" i="6"/>
  <c r="DH48" i="6"/>
  <c r="CA109" i="9"/>
  <c r="CA110" i="9"/>
  <c r="CB61" i="9"/>
  <c r="CB60" i="9"/>
  <c r="CY46" i="5"/>
  <c r="BR62" i="9"/>
  <c r="BR63" i="9"/>
  <c r="DX41" i="5"/>
  <c r="CQ54" i="9"/>
  <c r="CQ55" i="9"/>
  <c r="CQ112" i="9"/>
  <c r="CQ147" i="9"/>
  <c r="CQ123" i="9"/>
  <c r="Q61" i="9"/>
  <c r="Q60" i="9"/>
  <c r="BZ130" i="9"/>
  <c r="BZ129" i="9"/>
  <c r="DC37" i="6"/>
  <c r="DC48" i="6"/>
  <c r="DC60" i="6"/>
  <c r="DC62" i="6"/>
  <c r="DH72" i="7"/>
  <c r="DB74" i="7"/>
  <c r="CJ80" i="9"/>
  <c r="DQ36" i="5"/>
  <c r="CJ40" i="9"/>
  <c r="CJ21" i="10"/>
  <c r="W69" i="5"/>
  <c r="W70" i="5"/>
  <c r="W22" i="7"/>
  <c r="CH45" i="9"/>
  <c r="DO38" i="5"/>
  <c r="CB94" i="9"/>
  <c r="CB91" i="9"/>
  <c r="CB93" i="9"/>
  <c r="CB75" i="9"/>
  <c r="R121" i="9"/>
  <c r="R107" i="9"/>
  <c r="R108" i="9"/>
  <c r="BX121" i="9"/>
  <c r="DE37" i="6"/>
  <c r="BX107" i="9"/>
  <c r="BX108" i="9"/>
  <c r="DD72" i="7"/>
  <c r="CG21" i="10"/>
  <c r="DN13" i="5"/>
  <c r="DN15" i="5"/>
  <c r="DN33" i="5"/>
  <c r="DN36" i="5"/>
  <c r="CG40" i="9"/>
  <c r="CG80" i="9"/>
  <c r="CH121" i="9"/>
  <c r="DO37" i="6"/>
  <c r="CH107" i="9"/>
  <c r="CH108" i="9"/>
  <c r="W63" i="5"/>
  <c r="W67" i="5"/>
  <c r="R115" i="9"/>
  <c r="S129" i="9"/>
  <c r="S130" i="9"/>
  <c r="AV63" i="9"/>
  <c r="CB48" i="7"/>
  <c r="CB43" i="5"/>
  <c r="CB46" i="5"/>
  <c r="AU62" i="9"/>
  <c r="AU63" i="9"/>
  <c r="CJ121" i="9"/>
  <c r="DQ37" i="6"/>
  <c r="CJ107" i="9"/>
  <c r="CJ108" i="9"/>
  <c r="CI75" i="9"/>
  <c r="CI91" i="9"/>
  <c r="CI93" i="9"/>
  <c r="CI94" i="9"/>
  <c r="BT56" i="9"/>
  <c r="BT58" i="9"/>
  <c r="BT59" i="9"/>
  <c r="Y57" i="6"/>
  <c r="W83" i="6"/>
  <c r="CJ72" i="9"/>
  <c r="CJ73" i="9"/>
  <c r="W50" i="6"/>
  <c r="W86" i="7"/>
  <c r="CY48" i="7"/>
  <c r="CY43" i="5"/>
  <c r="CY85" i="6"/>
  <c r="CY87" i="6"/>
  <c r="U80" i="9"/>
  <c r="Z36" i="5"/>
  <c r="U40" i="9"/>
  <c r="U21" i="10"/>
  <c r="J12" i="11"/>
  <c r="DI37" i="5"/>
  <c r="DI39" i="5"/>
  <c r="DI41" i="5"/>
  <c r="DI43" i="5"/>
  <c r="J10" i="11"/>
  <c r="J11" i="11"/>
  <c r="BY9" i="10"/>
  <c r="BY10" i="10"/>
  <c r="BY12" i="10"/>
  <c r="BY19" i="10"/>
  <c r="BY22" i="10"/>
  <c r="BY24" i="10"/>
  <c r="V13" i="5"/>
  <c r="V15" i="5"/>
  <c r="V33" i="5"/>
  <c r="V47" i="7"/>
  <c r="DU41" i="5"/>
  <c r="CN54" i="9"/>
  <c r="CN55" i="9"/>
  <c r="BW147" i="9"/>
  <c r="BW123" i="9"/>
  <c r="BW111" i="9"/>
  <c r="BW112" i="9"/>
  <c r="DD48" i="6"/>
  <c r="DD60" i="6"/>
  <c r="DD62" i="6"/>
  <c r="DF37" i="6"/>
  <c r="DF72" i="7"/>
  <c r="Y48" i="6"/>
  <c r="T109" i="9"/>
  <c r="T110" i="9"/>
  <c r="DU37" i="5"/>
  <c r="DU39" i="5"/>
  <c r="CN56" i="9"/>
  <c r="CN58" i="9"/>
  <c r="U58" i="9"/>
  <c r="U59" i="9"/>
  <c r="DB48" i="6"/>
  <c r="DB60" i="6"/>
  <c r="DB62" i="6"/>
  <c r="V109" i="6"/>
  <c r="CB123" i="9"/>
  <c r="CB112" i="9"/>
  <c r="CB111" i="9"/>
  <c r="CB147" i="9"/>
  <c r="DH44" i="5"/>
  <c r="CA65" i="9"/>
  <c r="CA64" i="9"/>
  <c r="DP13" i="5"/>
  <c r="DP15" i="5"/>
  <c r="DP33" i="5"/>
  <c r="DP37" i="5"/>
  <c r="DP39" i="5"/>
  <c r="DP41" i="5"/>
  <c r="DP43" i="5"/>
  <c r="DP85" i="6"/>
  <c r="DD109" i="6"/>
  <c r="DE109" i="6"/>
  <c r="DF109" i="6"/>
  <c r="DG109" i="6"/>
  <c r="DH109" i="6"/>
  <c r="DI109" i="6"/>
  <c r="DJ109" i="6"/>
  <c r="DK109" i="6"/>
  <c r="DL109" i="6"/>
  <c r="DM109" i="6"/>
  <c r="DN109" i="6"/>
  <c r="DO109" i="6"/>
  <c r="DP109" i="6"/>
  <c r="DQ109" i="6"/>
  <c r="DR109" i="6"/>
  <c r="DS109" i="6"/>
  <c r="DT109" i="6"/>
  <c r="DU109" i="6"/>
  <c r="DV109" i="6"/>
  <c r="DW109" i="6"/>
  <c r="DX109" i="6"/>
  <c r="Z109" i="6"/>
  <c r="DB34" i="5"/>
  <c r="U34" i="5"/>
  <c r="U44" i="7"/>
  <c r="CC123" i="9"/>
  <c r="CC147" i="9"/>
  <c r="CC111" i="9"/>
  <c r="CC112" i="9"/>
  <c r="DX83" i="6"/>
  <c r="DX88" i="6"/>
  <c r="DX57" i="6"/>
  <c r="DX58" i="6"/>
  <c r="CQ111" i="9"/>
  <c r="CQ60" i="9"/>
  <c r="CQ61" i="9"/>
  <c r="BY115" i="9"/>
  <c r="BY116" i="9"/>
  <c r="CJ9" i="10"/>
  <c r="CJ10" i="10"/>
  <c r="CJ12" i="10"/>
  <c r="CJ19" i="10"/>
  <c r="CJ22" i="10"/>
  <c r="CJ24" i="10"/>
  <c r="CA121" i="9"/>
  <c r="DH37" i="6"/>
  <c r="CA107" i="9"/>
  <c r="CA108" i="9"/>
  <c r="BT21" i="10"/>
  <c r="DA36" i="5"/>
  <c r="BT40" i="9"/>
  <c r="BT80" i="9"/>
  <c r="CA75" i="9"/>
  <c r="CA91" i="9"/>
  <c r="CA93" i="9"/>
  <c r="CA94" i="9"/>
  <c r="CE121" i="9"/>
  <c r="DL37" i="6"/>
  <c r="CE107" i="9"/>
  <c r="CE108" i="9"/>
  <c r="V22" i="7"/>
  <c r="V70" i="5"/>
  <c r="V69" i="5"/>
  <c r="R45" i="9"/>
  <c r="DI38" i="5"/>
  <c r="W38" i="5"/>
  <c r="W46" i="7"/>
  <c r="V57" i="6"/>
  <c r="CT48" i="7"/>
  <c r="CT43" i="5"/>
  <c r="CT46" i="5"/>
  <c r="BM62" i="9"/>
  <c r="BM63" i="9"/>
  <c r="W36" i="6"/>
  <c r="W37" i="6"/>
  <c r="W72" i="7"/>
  <c r="CF121" i="9"/>
  <c r="DM37" i="6"/>
  <c r="CF107" i="9"/>
  <c r="CF108" i="9"/>
  <c r="CN76" i="9"/>
  <c r="CN83" i="9"/>
  <c r="CN70" i="9"/>
  <c r="CN18" i="9"/>
  <c r="CN20" i="9"/>
  <c r="CN78" i="9"/>
  <c r="P138" i="9"/>
  <c r="P137" i="9"/>
  <c r="P23" i="10"/>
  <c r="BW121" i="9"/>
  <c r="DD37" i="6"/>
  <c r="BW107" i="9"/>
  <c r="BW108" i="9"/>
  <c r="CM80" i="9"/>
  <c r="DT13" i="5"/>
  <c r="DT15" i="5"/>
  <c r="DT33" i="5"/>
  <c r="DT36" i="5"/>
  <c r="CM40" i="9"/>
  <c r="CM21" i="10"/>
  <c r="CH80" i="9"/>
  <c r="DO13" i="5"/>
  <c r="DO15" i="5"/>
  <c r="DO33" i="5"/>
  <c r="DO36" i="5"/>
  <c r="CH40" i="9"/>
  <c r="CH21" i="10"/>
  <c r="CN61" i="9"/>
  <c r="CN60" i="9"/>
  <c r="W57" i="6"/>
  <c r="DS74" i="7"/>
  <c r="DL84" i="6"/>
  <c r="DL45" i="5"/>
  <c r="O63" i="9"/>
  <c r="O62" i="9"/>
  <c r="CA73" i="9"/>
  <c r="CA72" i="9"/>
  <c r="DS62" i="6"/>
  <c r="DS60" i="6"/>
  <c r="DA72" i="7"/>
  <c r="Q116" i="9"/>
  <c r="CL45" i="9"/>
  <c r="DS13" i="5"/>
  <c r="DS15" i="5"/>
  <c r="DS33" i="5"/>
  <c r="DS38" i="5"/>
  <c r="CL110" i="9"/>
  <c r="DS48" i="6"/>
  <c r="CL109" i="9"/>
  <c r="T83" i="9"/>
  <c r="T78" i="9"/>
  <c r="T76" i="9"/>
  <c r="T70" i="9"/>
  <c r="X72" i="7"/>
  <c r="CP123" i="9"/>
  <c r="CP147" i="9"/>
  <c r="CP112" i="9"/>
  <c r="CO61" i="9"/>
  <c r="CO60" i="9"/>
  <c r="CJ20" i="10"/>
  <c r="CJ36" i="9"/>
  <c r="BT63" i="9"/>
  <c r="CE59" i="9"/>
  <c r="CE58" i="9"/>
  <c r="X83" i="6"/>
  <c r="Q115" i="9"/>
  <c r="R129" i="9"/>
  <c r="R130" i="9"/>
  <c r="CZ48" i="7"/>
  <c r="CZ43" i="5"/>
  <c r="CZ46" i="5"/>
  <c r="BS62" i="9"/>
  <c r="BS63" i="9"/>
  <c r="W45" i="7"/>
  <c r="BX59" i="9"/>
  <c r="Z72" i="7"/>
  <c r="CQ57" i="9"/>
  <c r="T46" i="5"/>
  <c r="S112" i="9"/>
  <c r="S147" i="9"/>
  <c r="S123" i="9"/>
  <c r="CQ23" i="10"/>
  <c r="CP111" i="9"/>
  <c r="CQ137" i="9"/>
  <c r="CQ138" i="9"/>
  <c r="P72" i="9"/>
  <c r="P73" i="9"/>
  <c r="DX72" i="7"/>
  <c r="CQ88" i="9"/>
  <c r="CQ69" i="9"/>
  <c r="CQ51" i="9"/>
  <c r="CQ24" i="9"/>
  <c r="CQ34" i="9"/>
  <c r="CQ38" i="9"/>
  <c r="CQ43" i="9"/>
  <c r="CQ47" i="9"/>
  <c r="CQ68" i="9"/>
  <c r="DI72" i="7"/>
  <c r="DA41" i="5"/>
  <c r="DA43" i="5"/>
  <c r="DA46" i="5"/>
  <c r="BT62" i="9"/>
  <c r="P62" i="9"/>
  <c r="P63" i="9"/>
  <c r="DK72" i="7"/>
  <c r="V45" i="7"/>
  <c r="CO69" i="9"/>
  <c r="CO68" i="9"/>
  <c r="CO88" i="9"/>
  <c r="CO24" i="9"/>
  <c r="CO34" i="9"/>
  <c r="CO38" i="9"/>
  <c r="CO43" i="9"/>
  <c r="CO47" i="9"/>
  <c r="CO51" i="9"/>
  <c r="R51" i="9"/>
  <c r="R69" i="9"/>
  <c r="R68" i="9"/>
  <c r="R24" i="9"/>
  <c r="R34" i="9"/>
  <c r="R38" i="9"/>
  <c r="R43" i="9"/>
  <c r="R47" i="9"/>
  <c r="R88" i="9"/>
  <c r="CE147" i="9"/>
  <c r="CE112" i="9"/>
  <c r="CE123" i="9"/>
  <c r="U88" i="6"/>
  <c r="CJ69" i="9"/>
  <c r="CJ51" i="9"/>
  <c r="CJ88" i="9"/>
  <c r="CJ24" i="9"/>
  <c r="CJ34" i="9"/>
  <c r="CJ38" i="9"/>
  <c r="CJ43" i="9"/>
  <c r="CJ47" i="9"/>
  <c r="CJ68" i="9"/>
  <c r="R80" i="9"/>
  <c r="DI13" i="5"/>
  <c r="DI15" i="5"/>
  <c r="DI33" i="5"/>
  <c r="DI36" i="5"/>
  <c r="W36" i="5"/>
  <c r="R40" i="9"/>
  <c r="R21" i="10"/>
  <c r="F23" i="11"/>
  <c r="BX56" i="9"/>
  <c r="BX58" i="9"/>
  <c r="Q58" i="9"/>
  <c r="Q59" i="9"/>
  <c r="CL123" i="9"/>
  <c r="CL112" i="9"/>
  <c r="CL147" i="9"/>
  <c r="K12" i="11"/>
  <c r="K10" i="11"/>
  <c r="K11" i="11"/>
  <c r="CP69" i="9"/>
  <c r="CP88" i="9"/>
  <c r="CP51" i="9"/>
  <c r="CP24" i="9"/>
  <c r="CP34" i="9"/>
  <c r="CP38" i="9"/>
  <c r="CP43" i="9"/>
  <c r="CP47" i="9"/>
  <c r="CP68" i="9"/>
  <c r="BU147" i="9"/>
  <c r="BU123" i="9"/>
  <c r="BU112" i="9"/>
  <c r="CA147" i="9"/>
  <c r="CA112" i="9"/>
  <c r="CA123" i="9"/>
  <c r="CI68" i="9"/>
  <c r="CI69" i="9"/>
  <c r="CI88" i="9"/>
  <c r="CI24" i="9"/>
  <c r="CI34" i="9"/>
  <c r="CI38" i="9"/>
  <c r="CI43" i="9"/>
  <c r="CI47" i="9"/>
  <c r="CI51" i="9"/>
  <c r="P88" i="9"/>
  <c r="P68" i="9"/>
  <c r="P51" i="9"/>
  <c r="P24" i="9"/>
  <c r="P34" i="9"/>
  <c r="P38" i="9"/>
  <c r="P43" i="9"/>
  <c r="P47" i="9"/>
  <c r="P69" i="9"/>
  <c r="U108" i="9"/>
  <c r="Z36" i="6"/>
  <c r="Z37" i="6"/>
  <c r="U107" i="9"/>
  <c r="U121" i="9"/>
  <c r="BY112" i="9"/>
  <c r="BY123" i="9"/>
  <c r="BY147" i="9"/>
  <c r="Y22" i="7"/>
  <c r="Y70" i="5"/>
  <c r="Y69" i="5"/>
  <c r="DX37" i="5"/>
  <c r="DX39" i="5"/>
  <c r="CQ56" i="9"/>
  <c r="CQ58" i="9"/>
  <c r="CQ59" i="9"/>
  <c r="U20" i="10"/>
  <c r="U36" i="9"/>
  <c r="N46" i="5"/>
  <c r="T138" i="9"/>
  <c r="X58" i="6"/>
  <c r="S111" i="9"/>
  <c r="T137" i="9"/>
  <c r="T23" i="10"/>
  <c r="DE37" i="5"/>
  <c r="DE39" i="5"/>
  <c r="DE41" i="5"/>
  <c r="DE43" i="5"/>
  <c r="DE46" i="5"/>
  <c r="V46" i="5"/>
  <c r="CM123" i="9"/>
  <c r="CM112" i="9"/>
  <c r="CM147" i="9"/>
  <c r="V46" i="7"/>
  <c r="V38" i="5"/>
  <c r="Q45" i="9"/>
  <c r="CQ108" i="9"/>
  <c r="DW83" i="6"/>
  <c r="DW88" i="6"/>
  <c r="DW57" i="6"/>
  <c r="DW58" i="6"/>
  <c r="DX50" i="6"/>
  <c r="DX36" i="6"/>
  <c r="DX37" i="6"/>
  <c r="CQ107" i="9"/>
  <c r="CQ121" i="9"/>
  <c r="CB121" i="9"/>
  <c r="DI37" i="6"/>
  <c r="CB107" i="9"/>
  <c r="CB108" i="9"/>
  <c r="Y83" i="6"/>
  <c r="CL9" i="10"/>
  <c r="CL10" i="10"/>
  <c r="CL12" i="10"/>
  <c r="CL19" i="10"/>
  <c r="CL22" i="10"/>
  <c r="CL24" i="10"/>
  <c r="CP59" i="9"/>
  <c r="CP58" i="9"/>
  <c r="CD121" i="9"/>
  <c r="DK37" i="6"/>
  <c r="CD107" i="9"/>
  <c r="CD108" i="9"/>
  <c r="Q80" i="9"/>
  <c r="V36" i="5"/>
  <c r="Q40" i="9"/>
  <c r="Q21" i="10"/>
  <c r="CF69" i="9"/>
  <c r="CF51" i="9"/>
  <c r="CF88" i="9"/>
  <c r="CF24" i="9"/>
  <c r="CF34" i="9"/>
  <c r="CF38" i="9"/>
  <c r="CF43" i="9"/>
  <c r="CF47" i="9"/>
  <c r="CF68" i="9"/>
  <c r="CF138" i="9"/>
  <c r="CE111" i="9"/>
  <c r="CF137" i="9"/>
  <c r="CF23" i="10"/>
  <c r="CF123" i="9"/>
  <c r="CF112" i="9"/>
  <c r="CF147" i="9"/>
  <c r="BP63" i="9"/>
  <c r="CV48" i="7"/>
  <c r="CV43" i="5"/>
  <c r="CV46" i="5"/>
  <c r="BO62" i="9"/>
  <c r="BO63" i="9"/>
  <c r="DD85" i="6"/>
  <c r="CM138" i="9"/>
  <c r="CL111" i="9"/>
  <c r="CM137" i="9"/>
  <c r="CM23" i="10"/>
  <c r="CJ57" i="9"/>
  <c r="DA44" i="5"/>
  <c r="CZ109" i="6"/>
  <c r="DA109" i="6"/>
  <c r="DB109" i="6"/>
  <c r="DC109" i="6"/>
  <c r="DC44" i="5"/>
  <c r="BV65" i="9"/>
  <c r="BV64" i="9"/>
  <c r="BV23" i="10"/>
  <c r="BU111" i="9"/>
  <c r="BV137" i="9"/>
  <c r="BV138" i="9"/>
  <c r="CB138" i="9"/>
  <c r="CA111" i="9"/>
  <c r="CB137" i="9"/>
  <c r="CB23" i="10"/>
  <c r="S76" i="9"/>
  <c r="S78" i="9"/>
  <c r="S70" i="9"/>
  <c r="S83" i="9"/>
  <c r="BZ138" i="9"/>
  <c r="BY111" i="9"/>
  <c r="BZ137" i="9"/>
  <c r="BZ23" i="10"/>
  <c r="CE75" i="9"/>
  <c r="CE91" i="9"/>
  <c r="CE93" i="9"/>
  <c r="CE94" i="9"/>
  <c r="CM94" i="9"/>
  <c r="CM91" i="9"/>
  <c r="CM93" i="9"/>
  <c r="CM75" i="9"/>
  <c r="CF78" i="9"/>
  <c r="CF70" i="9"/>
  <c r="CF83" i="9"/>
  <c r="CF76" i="9"/>
  <c r="CJ147" i="9"/>
  <c r="CJ123" i="9"/>
  <c r="CJ112" i="9"/>
  <c r="DU34" i="5"/>
  <c r="Z34" i="5"/>
  <c r="Z44" i="7"/>
  <c r="DJ72" i="7"/>
  <c r="I63" i="9"/>
  <c r="I62" i="9"/>
  <c r="J63" i="9"/>
  <c r="Q94" i="9"/>
  <c r="Q91" i="9"/>
  <c r="Q93" i="9"/>
  <c r="Q75" i="9"/>
  <c r="CN138" i="9"/>
  <c r="CM111" i="9"/>
  <c r="CN137" i="9"/>
  <c r="CN23" i="10"/>
  <c r="R123" i="9"/>
  <c r="R112" i="9"/>
  <c r="R147" i="9"/>
  <c r="DP74" i="7"/>
  <c r="CP56" i="9"/>
  <c r="CP57" i="9"/>
  <c r="DG48" i="6"/>
  <c r="DG60" i="6"/>
  <c r="DG62" i="6"/>
  <c r="DN48" i="6"/>
  <c r="CG109" i="9"/>
  <c r="CG110" i="9"/>
  <c r="DB85" i="6"/>
  <c r="U78" i="9"/>
  <c r="U70" i="9"/>
  <c r="U83" i="9"/>
  <c r="U76" i="9"/>
  <c r="X44" i="7"/>
  <c r="CD51" i="9"/>
  <c r="CD68" i="9"/>
  <c r="CD69" i="9"/>
  <c r="CD24" i="9"/>
  <c r="CD34" i="9"/>
  <c r="CD38" i="9"/>
  <c r="CD43" i="9"/>
  <c r="CD47" i="9"/>
  <c r="CD88" i="9"/>
  <c r="CG23" i="10"/>
  <c r="CF111" i="9"/>
  <c r="CG137" i="9"/>
  <c r="CG138" i="9"/>
  <c r="DN72" i="7"/>
  <c r="BW69" i="9"/>
  <c r="BW51" i="9"/>
  <c r="BW88" i="9"/>
  <c r="BW24" i="9"/>
  <c r="BW34" i="9"/>
  <c r="BW38" i="9"/>
  <c r="BW43" i="9"/>
  <c r="BW47" i="9"/>
  <c r="BW68" i="9"/>
  <c r="DQ37" i="5"/>
  <c r="DQ39" i="5"/>
  <c r="CJ56" i="9"/>
  <c r="T56" i="9"/>
  <c r="T57" i="9"/>
  <c r="Y44" i="7"/>
  <c r="DM34" i="5"/>
  <c r="X34" i="5"/>
  <c r="S36" i="9"/>
  <c r="S20" i="10"/>
  <c r="DR72" i="7"/>
  <c r="CB78" i="9"/>
  <c r="CB76" i="9"/>
  <c r="CB70" i="9"/>
  <c r="CB83" i="9"/>
  <c r="CO80" i="9"/>
  <c r="DV13" i="5"/>
  <c r="DV15" i="5"/>
  <c r="DV33" i="5"/>
  <c r="DV36" i="5"/>
  <c r="CO40" i="9"/>
  <c r="CO21" i="10"/>
  <c r="BU115" i="9"/>
  <c r="BU116" i="9"/>
  <c r="CQ80" i="9"/>
  <c r="DX13" i="5"/>
  <c r="DX15" i="5"/>
  <c r="DX33" i="5"/>
  <c r="DX36" i="5"/>
  <c r="CQ40" i="9"/>
  <c r="CQ21" i="10"/>
  <c r="CF75" i="9"/>
  <c r="CF18" i="9"/>
  <c r="CF20" i="9"/>
  <c r="CF91" i="9"/>
  <c r="CF93" i="9"/>
  <c r="CF94" i="9"/>
  <c r="CD147" i="9"/>
  <c r="CD112" i="9"/>
  <c r="CD123" i="9"/>
  <c r="CK138" i="9"/>
  <c r="CJ111" i="9"/>
  <c r="CK137" i="9"/>
  <c r="CK23" i="10"/>
  <c r="BZ94" i="9"/>
  <c r="BZ91" i="9"/>
  <c r="BZ93" i="9"/>
  <c r="BZ75" i="9"/>
  <c r="DF13" i="5"/>
  <c r="DF15" i="5"/>
  <c r="DF33" i="5"/>
  <c r="DF38" i="5"/>
  <c r="BY45" i="9"/>
  <c r="CC121" i="9"/>
  <c r="DJ37" i="6"/>
  <c r="CC107" i="9"/>
  <c r="CC108" i="9"/>
  <c r="S21" i="10"/>
  <c r="S40" i="9"/>
  <c r="S80" i="9"/>
  <c r="DB72" i="7"/>
  <c r="DR34" i="5"/>
  <c r="CK36" i="9"/>
  <c r="CK20" i="10"/>
  <c r="BZ46" i="5"/>
  <c r="AS62" i="9"/>
  <c r="AS63" i="9"/>
  <c r="S138" i="9"/>
  <c r="W58" i="6"/>
  <c r="R111" i="9"/>
  <c r="S137" i="9"/>
  <c r="S23" i="10"/>
  <c r="DW84" i="6"/>
  <c r="DW13" i="5"/>
  <c r="DW15" i="5"/>
  <c r="DW33" i="5"/>
  <c r="DW37" i="5"/>
  <c r="DW39" i="5"/>
  <c r="DW45" i="5"/>
  <c r="CI9" i="10"/>
  <c r="CI10" i="10"/>
  <c r="CI12" i="10"/>
  <c r="CI19" i="10"/>
  <c r="CI22" i="10"/>
  <c r="CI24" i="10"/>
  <c r="Y72" i="7"/>
  <c r="CL76" i="9"/>
  <c r="CL70" i="9"/>
  <c r="CL83" i="9"/>
  <c r="CL78" i="9"/>
  <c r="DT37" i="6"/>
  <c r="DT48" i="6"/>
  <c r="DT60" i="6"/>
  <c r="DT62" i="6"/>
  <c r="DE38" i="5"/>
  <c r="BX45" i="9"/>
  <c r="DM37" i="5"/>
  <c r="DM39" i="5"/>
  <c r="DM41" i="5"/>
  <c r="DM43" i="5"/>
  <c r="DM85" i="6"/>
  <c r="X85" i="6"/>
  <c r="CG72" i="9"/>
  <c r="CG73" i="9"/>
  <c r="Q123" i="9"/>
  <c r="Q112" i="9"/>
  <c r="Q147" i="9"/>
  <c r="R94" i="9"/>
  <c r="R91" i="9"/>
  <c r="R93" i="9"/>
  <c r="R75" i="9"/>
  <c r="P61" i="9"/>
  <c r="P60" i="9"/>
  <c r="F25" i="11"/>
  <c r="BW21" i="10"/>
  <c r="DD36" i="5"/>
  <c r="BW40" i="9"/>
  <c r="BW80" i="9"/>
  <c r="BU83" i="9"/>
  <c r="BU78" i="9"/>
  <c r="BU70" i="9"/>
  <c r="BU76" i="9"/>
  <c r="BX70" i="9"/>
  <c r="BX78" i="9"/>
  <c r="BX83" i="9"/>
  <c r="BX76" i="9"/>
  <c r="DD13" i="5"/>
  <c r="DD15" i="5"/>
  <c r="DD33" i="5"/>
  <c r="DD37" i="5"/>
  <c r="DD39" i="5"/>
  <c r="DD41" i="5"/>
  <c r="DD43" i="5"/>
  <c r="DD46" i="5"/>
  <c r="BW62" i="9"/>
  <c r="BW63" i="9"/>
  <c r="CG108" i="9"/>
  <c r="DN37" i="6"/>
  <c r="CG107" i="9"/>
  <c r="CG121" i="9"/>
  <c r="CC75" i="9"/>
  <c r="CC91" i="9"/>
  <c r="CC93" i="9"/>
  <c r="CC94" i="9"/>
  <c r="P123" i="9"/>
  <c r="P112" i="9"/>
  <c r="P147" i="9"/>
  <c r="BY78" i="9"/>
  <c r="BY70" i="9"/>
  <c r="BY76" i="9"/>
  <c r="BY83" i="9"/>
  <c r="DQ34" i="5"/>
  <c r="Y34" i="5"/>
  <c r="T36" i="9"/>
  <c r="T20" i="10"/>
  <c r="CH69" i="9"/>
  <c r="CH68" i="9"/>
  <c r="CH88" i="9"/>
  <c r="CH24" i="9"/>
  <c r="CH34" i="9"/>
  <c r="CH38" i="9"/>
  <c r="CH43" i="9"/>
  <c r="CH47" i="9"/>
  <c r="CH51" i="9"/>
  <c r="CN21" i="10"/>
  <c r="DU36" i="5"/>
  <c r="CN40" i="9"/>
  <c r="CN80" i="9"/>
  <c r="CK121" i="9"/>
  <c r="DR37" i="6"/>
  <c r="CK107" i="9"/>
  <c r="CK108" i="9"/>
  <c r="CG78" i="9"/>
  <c r="CG83" i="9"/>
  <c r="CG70" i="9"/>
  <c r="CG76" i="9"/>
  <c r="CH94" i="9"/>
  <c r="CH91" i="9"/>
  <c r="CH93" i="9"/>
  <c r="CH75" i="9"/>
  <c r="DJ38" i="5"/>
  <c r="CC45" i="9"/>
  <c r="CF21" i="10"/>
  <c r="CF40" i="9"/>
  <c r="CF80" i="9"/>
  <c r="Z46" i="7"/>
  <c r="Z38" i="5"/>
  <c r="U45" i="9"/>
  <c r="CE23" i="10"/>
  <c r="CD111" i="9"/>
  <c r="CE137" i="9"/>
  <c r="CE138" i="9"/>
  <c r="CC80" i="9"/>
  <c r="DJ13" i="5"/>
  <c r="DJ15" i="5"/>
  <c r="DJ33" i="5"/>
  <c r="DJ36" i="5"/>
  <c r="CC40" i="9"/>
  <c r="CC21" i="10"/>
  <c r="BW75" i="9"/>
  <c r="BW91" i="9"/>
  <c r="BW93" i="9"/>
  <c r="BW94" i="9"/>
  <c r="BT138" i="9"/>
  <c r="BT137" i="9"/>
  <c r="BT23" i="10"/>
  <c r="DR74" i="7"/>
  <c r="P45" i="9"/>
  <c r="DA38" i="5"/>
  <c r="U38" i="5"/>
  <c r="U46" i="7"/>
  <c r="DM13" i="5"/>
  <c r="DM15" i="5"/>
  <c r="DM33" i="5"/>
  <c r="DM36" i="5"/>
  <c r="X36" i="5"/>
  <c r="X45" i="7"/>
  <c r="BU108" i="9"/>
  <c r="DB37" i="6"/>
  <c r="BU107" i="9"/>
  <c r="BU121" i="9"/>
  <c r="CE21" i="10"/>
  <c r="DL36" i="5"/>
  <c r="CE40" i="9"/>
  <c r="CE80" i="9"/>
  <c r="CM72" i="9"/>
  <c r="CM73" i="9"/>
  <c r="T121" i="9"/>
  <c r="Y36" i="6"/>
  <c r="Y37" i="6"/>
  <c r="T107" i="9"/>
  <c r="T108" i="9"/>
  <c r="DB13" i="5"/>
  <c r="DB15" i="5"/>
  <c r="DB33" i="5"/>
  <c r="DB37" i="5"/>
  <c r="DB39" i="5"/>
  <c r="DB41" i="5"/>
  <c r="DB43" i="5"/>
  <c r="DB46" i="5"/>
  <c r="BU62" i="9"/>
  <c r="BU63" i="9"/>
  <c r="CM116" i="9"/>
  <c r="V36" i="6"/>
  <c r="V63" i="5"/>
  <c r="V67" i="5"/>
  <c r="W68" i="5"/>
  <c r="R23" i="10"/>
  <c r="V58" i="6"/>
  <c r="Q111" i="9"/>
  <c r="R137" i="9"/>
  <c r="R138" i="9"/>
  <c r="CL121" i="9"/>
  <c r="CL107" i="9"/>
  <c r="CL108" i="9"/>
  <c r="CA138" i="9"/>
  <c r="CA137" i="9"/>
  <c r="CA23" i="10"/>
  <c r="BV70" i="9"/>
  <c r="BV83" i="9"/>
  <c r="BV78" i="9"/>
  <c r="BV76" i="9"/>
  <c r="BX80" i="9"/>
  <c r="DE13" i="5"/>
  <c r="DE15" i="5"/>
  <c r="DE33" i="5"/>
  <c r="DE36" i="5"/>
  <c r="BX40" i="9"/>
  <c r="BX21" i="10"/>
  <c r="BZ121" i="9"/>
  <c r="BZ107" i="9"/>
  <c r="BZ108" i="9"/>
  <c r="CQ75" i="9"/>
  <c r="CQ91" i="9"/>
  <c r="CQ93" i="9"/>
  <c r="CQ94" i="9"/>
  <c r="CA21" i="10"/>
  <c r="DH13" i="5"/>
  <c r="DH15" i="5"/>
  <c r="DH33" i="5"/>
  <c r="DH36" i="5"/>
  <c r="CA40" i="9"/>
  <c r="CA80" i="9"/>
  <c r="BU94" i="9"/>
  <c r="BU91" i="9"/>
  <c r="BU93" i="9"/>
  <c r="BU75" i="9"/>
  <c r="DV72" i="7"/>
  <c r="CJ45" i="9"/>
  <c r="CD78" i="9"/>
  <c r="CD76" i="9"/>
  <c r="CD70" i="9"/>
  <c r="CD83" i="9"/>
  <c r="CP75" i="9"/>
  <c r="CP91" i="9"/>
  <c r="CP93" i="9"/>
  <c r="CP94" i="9"/>
  <c r="BU23" i="10"/>
  <c r="BU137" i="9"/>
  <c r="BU138" i="9"/>
  <c r="CH112" i="9"/>
  <c r="CH123" i="9"/>
  <c r="CH147" i="9"/>
  <c r="CK76" i="9"/>
  <c r="CK78" i="9"/>
  <c r="CK70" i="9"/>
  <c r="CK83" i="9"/>
  <c r="Q138" i="9"/>
  <c r="U58" i="6"/>
  <c r="P111" i="9"/>
  <c r="Q137" i="9"/>
  <c r="Q23" i="10"/>
  <c r="CI108" i="9"/>
  <c r="CI107" i="9"/>
  <c r="CI121" i="9"/>
  <c r="CA78" i="9"/>
  <c r="CA70" i="9"/>
  <c r="CA76" i="9"/>
  <c r="CA83" i="9"/>
  <c r="CM69" i="9"/>
  <c r="CM88" i="9"/>
  <c r="CM68" i="9"/>
  <c r="CM24" i="9"/>
  <c r="CM34" i="9"/>
  <c r="CM38" i="9"/>
  <c r="CM43" i="9"/>
  <c r="CM47" i="9"/>
  <c r="CM51" i="9"/>
  <c r="S51" i="9"/>
  <c r="S69" i="9"/>
  <c r="S68" i="9"/>
  <c r="DM12" i="5"/>
  <c r="X12" i="5"/>
  <c r="S18" i="9"/>
  <c r="S20" i="9"/>
  <c r="S24" i="9"/>
  <c r="S34" i="9"/>
  <c r="S38" i="9"/>
  <c r="S43" i="9"/>
  <c r="S47" i="9"/>
  <c r="S88" i="9"/>
  <c r="BT83" i="9"/>
  <c r="BT76" i="9"/>
  <c r="BT78" i="9"/>
  <c r="BT70" i="9"/>
  <c r="T75" i="9"/>
  <c r="Y12" i="5"/>
  <c r="T18" i="9"/>
  <c r="T20" i="9"/>
  <c r="T91" i="9"/>
  <c r="T93" i="9"/>
  <c r="T94" i="9"/>
  <c r="X69" i="5"/>
  <c r="DK57" i="6"/>
  <c r="DK58" i="6"/>
  <c r="DL50" i="6"/>
  <c r="DL36" i="6"/>
  <c r="DL63" i="5"/>
  <c r="DL67" i="5"/>
  <c r="DM68" i="5"/>
  <c r="DM70" i="5"/>
  <c r="X70" i="5"/>
  <c r="X22" i="7"/>
  <c r="DU13" i="5"/>
  <c r="DU15" i="5"/>
  <c r="DU33" i="5"/>
  <c r="DU38" i="5"/>
  <c r="CN45" i="9"/>
  <c r="BZ80" i="9"/>
  <c r="DG36" i="5"/>
  <c r="BZ40" i="9"/>
  <c r="BZ21" i="10"/>
  <c r="CN112" i="9"/>
  <c r="CN147" i="9"/>
  <c r="CN123" i="9"/>
  <c r="DG13" i="5"/>
  <c r="DG15" i="5"/>
  <c r="DG33" i="5"/>
  <c r="DG38" i="5"/>
  <c r="BZ45" i="9"/>
  <c r="CM70" i="9"/>
  <c r="CM78" i="9"/>
  <c r="CM76" i="9"/>
  <c r="DS63" i="5"/>
  <c r="DS67" i="5"/>
  <c r="DT68" i="5"/>
  <c r="DT70" i="5"/>
  <c r="DT12" i="5"/>
  <c r="CM18" i="9"/>
  <c r="CM20" i="9"/>
  <c r="CM83" i="9"/>
  <c r="BW70" i="9"/>
  <c r="BW76" i="9"/>
  <c r="BW83" i="9"/>
  <c r="DB57" i="6"/>
  <c r="DB58" i="6"/>
  <c r="DC50" i="6"/>
  <c r="DC36" i="6"/>
  <c r="DC63" i="5"/>
  <c r="DC67" i="5"/>
  <c r="DD68" i="5"/>
  <c r="DD70" i="5"/>
  <c r="DD12" i="5"/>
  <c r="BW18" i="9"/>
  <c r="BW20" i="9"/>
  <c r="BW78" i="9"/>
  <c r="BZ76" i="9"/>
  <c r="BZ83" i="9"/>
  <c r="BZ70" i="9"/>
  <c r="BZ78" i="9"/>
  <c r="CI72" i="9"/>
  <c r="CI73" i="9"/>
  <c r="CC51" i="9"/>
  <c r="CC88" i="9"/>
  <c r="CC68" i="9"/>
  <c r="CC24" i="9"/>
  <c r="CC34" i="9"/>
  <c r="CC38" i="9"/>
  <c r="CC43" i="9"/>
  <c r="CC47" i="9"/>
  <c r="CC69" i="9"/>
  <c r="CE76" i="9"/>
  <c r="CE78" i="9"/>
  <c r="CE83" i="9"/>
  <c r="CE70" i="9"/>
  <c r="X36" i="6"/>
  <c r="X37" i="6"/>
  <c r="X48" i="6"/>
  <c r="X60" i="6"/>
  <c r="X62" i="6"/>
  <c r="CO123" i="9"/>
  <c r="CO147" i="9"/>
  <c r="CO112" i="9"/>
  <c r="Q70" i="9"/>
  <c r="Q78" i="9"/>
  <c r="Q76" i="9"/>
  <c r="Q83" i="9"/>
  <c r="DL13" i="5"/>
  <c r="DL15" i="5"/>
  <c r="DL33" i="5"/>
  <c r="DL37" i="5"/>
  <c r="DL39" i="5"/>
  <c r="CE56" i="9"/>
  <c r="CE57" i="9"/>
  <c r="CQ76" i="9"/>
  <c r="CQ83" i="9"/>
  <c r="CQ70" i="9"/>
  <c r="DW50" i="6"/>
  <c r="DW36" i="6"/>
  <c r="DW63" i="5"/>
  <c r="DW67" i="5"/>
  <c r="DX68" i="5"/>
  <c r="DX70" i="5"/>
  <c r="DX12" i="5"/>
  <c r="CQ18" i="9"/>
  <c r="CQ20" i="9"/>
  <c r="CQ78" i="9"/>
  <c r="CP23" i="10"/>
  <c r="DV83" i="6"/>
  <c r="DV88" i="6"/>
  <c r="DV57" i="6"/>
  <c r="DV58" i="6"/>
  <c r="CO111" i="9"/>
  <c r="CP137" i="9"/>
  <c r="CP138" i="9"/>
  <c r="CL51" i="9"/>
  <c r="CL88" i="9"/>
  <c r="CL69" i="9"/>
  <c r="DQ57" i="6"/>
  <c r="DQ58" i="6"/>
  <c r="DR50" i="6"/>
  <c r="DR36" i="6"/>
  <c r="DR63" i="5"/>
  <c r="DR67" i="5"/>
  <c r="DS68" i="5"/>
  <c r="DS70" i="5"/>
  <c r="DS12" i="5"/>
  <c r="CL18" i="9"/>
  <c r="CL20" i="9"/>
  <c r="CL24" i="9"/>
  <c r="CL34" i="9"/>
  <c r="CL38" i="9"/>
  <c r="CL43" i="9"/>
  <c r="CL47" i="9"/>
  <c r="CL68" i="9"/>
  <c r="CX48" i="7"/>
  <c r="CX43" i="5"/>
  <c r="CX46" i="5"/>
  <c r="BQ62" i="9"/>
  <c r="BQ63" i="9"/>
  <c r="CM115" i="9"/>
  <c r="CN129" i="9"/>
  <c r="CN130" i="9"/>
  <c r="U68" i="9"/>
  <c r="U88" i="9"/>
  <c r="U51" i="9"/>
  <c r="DS57" i="6"/>
  <c r="DS58" i="6"/>
  <c r="DT50" i="6"/>
  <c r="DT36" i="6"/>
  <c r="DT63" i="5"/>
  <c r="DT67" i="5"/>
  <c r="DU68" i="5"/>
  <c r="DU70" i="5"/>
  <c r="DU12" i="5"/>
  <c r="Z12" i="5"/>
  <c r="U18" i="9"/>
  <c r="U20" i="9"/>
  <c r="U24" i="9"/>
  <c r="U34" i="9"/>
  <c r="U38" i="9"/>
  <c r="U43" i="9"/>
  <c r="U47" i="9"/>
  <c r="U69" i="9"/>
  <c r="BU68" i="9"/>
  <c r="BU51" i="9"/>
  <c r="BU88" i="9"/>
  <c r="DB68" i="5"/>
  <c r="DB70" i="5"/>
  <c r="DB12" i="5"/>
  <c r="BU18" i="9"/>
  <c r="BU20" i="9"/>
  <c r="BU24" i="9"/>
  <c r="BU34" i="9"/>
  <c r="BU38" i="9"/>
  <c r="BU43" i="9"/>
  <c r="BU47" i="9"/>
  <c r="BU69" i="9"/>
  <c r="DR57" i="6"/>
  <c r="DR58" i="6"/>
  <c r="DS50" i="6"/>
  <c r="DS36" i="6"/>
  <c r="DS37" i="6"/>
  <c r="DS72" i="7"/>
  <c r="BZ112" i="9"/>
  <c r="BZ147" i="9"/>
  <c r="BZ111" i="9"/>
  <c r="BZ123" i="9"/>
  <c r="BV69" i="9"/>
  <c r="BV68" i="9"/>
  <c r="BV51" i="9"/>
  <c r="DB50" i="6"/>
  <c r="DB36" i="6"/>
  <c r="DB63" i="5"/>
  <c r="DB67" i="5"/>
  <c r="DC68" i="5"/>
  <c r="DC70" i="5"/>
  <c r="DC12" i="5"/>
  <c r="BV18" i="9"/>
  <c r="BV20" i="9"/>
  <c r="BV24" i="9"/>
  <c r="BV34" i="9"/>
  <c r="BV38" i="9"/>
  <c r="BV43" i="9"/>
  <c r="BV47" i="9"/>
  <c r="BV88" i="9"/>
  <c r="CO70" i="9"/>
  <c r="CO78" i="9"/>
  <c r="CO76" i="9"/>
  <c r="DT57" i="6"/>
  <c r="DT58" i="6"/>
  <c r="DU50" i="6"/>
  <c r="DU36" i="6"/>
  <c r="DU63" i="5"/>
  <c r="DU67" i="5"/>
  <c r="DV68" i="5"/>
  <c r="DV70" i="5"/>
  <c r="DV12" i="5"/>
  <c r="CO18" i="9"/>
  <c r="CO20" i="9"/>
  <c r="CO83" i="9"/>
  <c r="BT121" i="9"/>
  <c r="DA37" i="6"/>
  <c r="BT107" i="9"/>
  <c r="BT108" i="9"/>
  <c r="R70" i="9"/>
  <c r="R76" i="9"/>
  <c r="R78" i="9"/>
  <c r="W12" i="5"/>
  <c r="R18" i="9"/>
  <c r="R20" i="9"/>
  <c r="R83" i="9"/>
  <c r="DG37" i="6"/>
  <c r="DG72" i="7"/>
  <c r="CO138" i="9"/>
  <c r="CN111" i="9"/>
  <c r="CO137" i="9"/>
  <c r="CO23" i="10"/>
  <c r="U22" i="7"/>
  <c r="U70" i="5"/>
  <c r="U69" i="5"/>
  <c r="CJ76" i="9"/>
  <c r="CJ78" i="9"/>
  <c r="CJ83" i="9"/>
  <c r="CJ18" i="9"/>
  <c r="CJ20" i="9"/>
  <c r="CJ70" i="9"/>
  <c r="CO121" i="9"/>
  <c r="DV37" i="6"/>
  <c r="CO107" i="9"/>
  <c r="CO108" i="9"/>
  <c r="BX88" i="9"/>
  <c r="BX69" i="9"/>
  <c r="BX68" i="9"/>
  <c r="BX18" i="9"/>
  <c r="BX20" i="9"/>
  <c r="BX24" i="9"/>
  <c r="BX34" i="9"/>
  <c r="BX38" i="9"/>
  <c r="BX43" i="9"/>
  <c r="BX47" i="9"/>
  <c r="BX51" i="9"/>
  <c r="Y46" i="7"/>
  <c r="DP63" i="5"/>
  <c r="DP67" i="5"/>
  <c r="DQ68" i="5"/>
  <c r="DQ70" i="5"/>
  <c r="DQ12" i="5"/>
  <c r="DQ13" i="5"/>
  <c r="DQ15" i="5"/>
  <c r="DQ33" i="5"/>
  <c r="DQ38" i="5"/>
  <c r="Y38" i="5"/>
  <c r="T45" i="9"/>
  <c r="CK75" i="9"/>
  <c r="CK91" i="9"/>
  <c r="CK93" i="9"/>
  <c r="CK94" i="9"/>
  <c r="CD75" i="9"/>
  <c r="DI57" i="6"/>
  <c r="DI58" i="6"/>
  <c r="DJ50" i="6"/>
  <c r="DJ36" i="6"/>
  <c r="DJ63" i="5"/>
  <c r="DJ67" i="5"/>
  <c r="DK68" i="5"/>
  <c r="DK70" i="5"/>
  <c r="DK12" i="5"/>
  <c r="CD18" i="9"/>
  <c r="CD20" i="9"/>
  <c r="CD91" i="9"/>
  <c r="CD93" i="9"/>
  <c r="CD94" i="9"/>
  <c r="BT123" i="9"/>
  <c r="BT147" i="9"/>
  <c r="BT111" i="9"/>
  <c r="BT112" i="9"/>
  <c r="CI138" i="9"/>
  <c r="CH111" i="9"/>
  <c r="CI137" i="9"/>
  <c r="CI23" i="10"/>
  <c r="CC78" i="9"/>
  <c r="CC76" i="9"/>
  <c r="CC70" i="9"/>
  <c r="DH57" i="6"/>
  <c r="DH58" i="6"/>
  <c r="DI50" i="6"/>
  <c r="DI36" i="6"/>
  <c r="DI63" i="5"/>
  <c r="DI67" i="5"/>
  <c r="DJ68" i="5"/>
  <c r="DJ70" i="5"/>
  <c r="DJ12" i="5"/>
  <c r="CC18" i="9"/>
  <c r="CC20" i="9"/>
  <c r="CC83" i="9"/>
  <c r="CK51" i="9"/>
  <c r="CK88" i="9"/>
  <c r="CK68" i="9"/>
  <c r="DP57" i="6"/>
  <c r="DP58" i="6"/>
  <c r="DQ50" i="6"/>
  <c r="DQ36" i="6"/>
  <c r="DQ63" i="5"/>
  <c r="DQ67" i="5"/>
  <c r="DR68" i="5"/>
  <c r="DR70" i="5"/>
  <c r="DR12" i="5"/>
  <c r="CK18" i="9"/>
  <c r="CK20" i="9"/>
  <c r="CK24" i="9"/>
  <c r="CK34" i="9"/>
  <c r="CK38" i="9"/>
  <c r="CK43" i="9"/>
  <c r="CK47" i="9"/>
  <c r="CK69" i="9"/>
  <c r="CP70" i="9"/>
  <c r="CP76" i="9"/>
  <c r="CP83" i="9"/>
  <c r="DP83" i="6"/>
  <c r="DP88" i="6"/>
  <c r="DQ83" i="6"/>
  <c r="DQ88" i="6"/>
  <c r="DR83" i="6"/>
  <c r="DR88" i="6"/>
  <c r="DS83" i="6"/>
  <c r="DS88" i="6"/>
  <c r="DT83" i="6"/>
  <c r="DT88" i="6"/>
  <c r="DU83" i="6"/>
  <c r="DU88" i="6"/>
  <c r="DU57" i="6"/>
  <c r="DU58" i="6"/>
  <c r="DV50" i="6"/>
  <c r="DV36" i="6"/>
  <c r="DV63" i="5"/>
  <c r="DV67" i="5"/>
  <c r="DW68" i="5"/>
  <c r="DW70" i="5"/>
  <c r="DW12" i="5"/>
  <c r="CP18" i="9"/>
  <c r="CP20" i="9"/>
  <c r="CP78" i="9"/>
  <c r="BY68" i="9"/>
  <c r="BY51" i="9"/>
  <c r="BY69" i="9"/>
  <c r="DD57" i="6"/>
  <c r="DD58" i="6"/>
  <c r="DE50" i="6"/>
  <c r="DE36" i="6"/>
  <c r="DE63" i="5"/>
  <c r="DE67" i="5"/>
  <c r="DF68" i="5"/>
  <c r="DF70" i="5"/>
  <c r="DF12" i="5"/>
  <c r="BY18" i="9"/>
  <c r="BY20" i="9"/>
  <c r="BY24" i="9"/>
  <c r="BY34" i="9"/>
  <c r="BY38" i="9"/>
  <c r="BY43" i="9"/>
  <c r="BY47" i="9"/>
  <c r="BY88" i="9"/>
  <c r="DO83" i="6"/>
  <c r="DO88" i="6"/>
  <c r="DO57" i="6"/>
  <c r="DO58" i="6"/>
  <c r="DP50" i="6"/>
  <c r="DP36" i="6"/>
  <c r="DP37" i="6"/>
  <c r="DP72" i="7"/>
  <c r="Q51" i="9"/>
  <c r="Q68" i="9"/>
  <c r="Q88" i="9"/>
  <c r="DC57" i="6"/>
  <c r="DC58" i="6"/>
  <c r="DD50" i="6"/>
  <c r="DD36" i="6"/>
  <c r="DD63" i="5"/>
  <c r="DD67" i="5"/>
  <c r="DE68" i="5"/>
  <c r="DE70" i="5"/>
  <c r="DE12" i="5"/>
  <c r="V12" i="5"/>
  <c r="Q18" i="9"/>
  <c r="Q20" i="9"/>
  <c r="Q24" i="9"/>
  <c r="Q34" i="9"/>
  <c r="Q38" i="9"/>
  <c r="Q43" i="9"/>
  <c r="Q47" i="9"/>
  <c r="Q69" i="9"/>
  <c r="CI76" i="9"/>
  <c r="CI78" i="9"/>
  <c r="CI70" i="9"/>
  <c r="DN83" i="6"/>
  <c r="DN88" i="6"/>
  <c r="DN57" i="6"/>
  <c r="DN58" i="6"/>
  <c r="DO50" i="6"/>
  <c r="DO36" i="6"/>
  <c r="DO63" i="5"/>
  <c r="DO67" i="5"/>
  <c r="DP68" i="5"/>
  <c r="DP70" i="5"/>
  <c r="DP12" i="5"/>
  <c r="CI18" i="9"/>
  <c r="CI20" i="9"/>
  <c r="CI83" i="9"/>
  <c r="BZ48" i="7"/>
  <c r="BZ43" i="5"/>
  <c r="N43" i="5"/>
  <c r="N48" i="7"/>
  <c r="CE69" i="9"/>
  <c r="CE88" i="9"/>
  <c r="CE68" i="9"/>
  <c r="DJ57" i="6"/>
  <c r="DJ58" i="6"/>
  <c r="DK50" i="6"/>
  <c r="DK36" i="6"/>
  <c r="DK63" i="5"/>
  <c r="DK67" i="5"/>
  <c r="DL68" i="5"/>
  <c r="DL70" i="5"/>
  <c r="DL12" i="5"/>
  <c r="CE18" i="9"/>
  <c r="CE20" i="9"/>
  <c r="CE24" i="9"/>
  <c r="CE34" i="9"/>
  <c r="CE38" i="9"/>
  <c r="CE43" i="9"/>
  <c r="CE47" i="9"/>
  <c r="CE51" i="9"/>
  <c r="CA69" i="9"/>
  <c r="CA88" i="9"/>
  <c r="CA51" i="9"/>
  <c r="DF57" i="6"/>
  <c r="DF58" i="6"/>
  <c r="DG50" i="6"/>
  <c r="DG36" i="6"/>
  <c r="DG63" i="5"/>
  <c r="DG67" i="5"/>
  <c r="DH68" i="5"/>
  <c r="DH70" i="5"/>
  <c r="DH12" i="5"/>
  <c r="CA18" i="9"/>
  <c r="CA20" i="9"/>
  <c r="CA24" i="9"/>
  <c r="CA34" i="9"/>
  <c r="CA38" i="9"/>
  <c r="CA43" i="9"/>
  <c r="CA47" i="9"/>
  <c r="CA68" i="9"/>
  <c r="P70" i="9"/>
  <c r="P83" i="9"/>
  <c r="P76" i="9"/>
  <c r="U12" i="5"/>
  <c r="P18" i="9"/>
  <c r="P20" i="9"/>
  <c r="P78" i="9"/>
  <c r="BZ88" i="9"/>
  <c r="BZ68" i="9"/>
  <c r="BZ51" i="9"/>
  <c r="DE57" i="6"/>
  <c r="DE58" i="6"/>
  <c r="DF50" i="6"/>
  <c r="DF36" i="6"/>
  <c r="DF63" i="5"/>
  <c r="DF67" i="5"/>
  <c r="DG68" i="5"/>
  <c r="DG70" i="5"/>
  <c r="DG12" i="5"/>
  <c r="BZ18" i="9"/>
  <c r="BZ20" i="9"/>
  <c r="BZ24" i="9"/>
  <c r="BZ34" i="9"/>
  <c r="BZ38" i="9"/>
  <c r="BZ43" i="9"/>
  <c r="BZ47" i="9"/>
  <c r="BZ69" i="9"/>
  <c r="CB68" i="9"/>
  <c r="CB88" i="9"/>
  <c r="CB69" i="9"/>
  <c r="DG57" i="6"/>
  <c r="DG58" i="6"/>
  <c r="DH50" i="6"/>
  <c r="DH36" i="6"/>
  <c r="DH63" i="5"/>
  <c r="DH67" i="5"/>
  <c r="DI68" i="5"/>
  <c r="DI70" i="5"/>
  <c r="DI12" i="5"/>
  <c r="CB18" i="9"/>
  <c r="CB20" i="9"/>
  <c r="CB24" i="9"/>
  <c r="CB34" i="9"/>
  <c r="CB38" i="9"/>
  <c r="CB43" i="9"/>
  <c r="CB47" i="9"/>
  <c r="CB51" i="9"/>
  <c r="CG68" i="9"/>
  <c r="CG69" i="9"/>
  <c r="CG51" i="9"/>
  <c r="DL57" i="6"/>
  <c r="DL58" i="6"/>
  <c r="DM50" i="6"/>
  <c r="DM36" i="6"/>
  <c r="DM63" i="5"/>
  <c r="DM67" i="5"/>
  <c r="DN68" i="5"/>
  <c r="DN70" i="5"/>
  <c r="DN12" i="5"/>
  <c r="CG18" i="9"/>
  <c r="CG20" i="9"/>
  <c r="CG24" i="9"/>
  <c r="CG34" i="9"/>
  <c r="CG38" i="9"/>
  <c r="CG43" i="9"/>
  <c r="CG47" i="9"/>
  <c r="CG88" i="9"/>
  <c r="CH78" i="9"/>
  <c r="CH70" i="9"/>
  <c r="CH76" i="9"/>
  <c r="DB83" i="6"/>
  <c r="DB88" i="6"/>
  <c r="DC83" i="6"/>
  <c r="DC88" i="6"/>
  <c r="DD83" i="6"/>
  <c r="DD88" i="6"/>
  <c r="DE83" i="6"/>
  <c r="DE88" i="6"/>
  <c r="DF83" i="6"/>
  <c r="DF88" i="6"/>
  <c r="DG83" i="6"/>
  <c r="DG88" i="6"/>
  <c r="DH83" i="6"/>
  <c r="DH88" i="6"/>
  <c r="DI83" i="6"/>
  <c r="DI88" i="6"/>
  <c r="DJ83" i="6"/>
  <c r="DJ88" i="6"/>
  <c r="DK83" i="6"/>
  <c r="DK88" i="6"/>
  <c r="DL83" i="6"/>
  <c r="DL88" i="6"/>
  <c r="DM83" i="6"/>
  <c r="DM88" i="6"/>
  <c r="DM57" i="6"/>
  <c r="DM58" i="6"/>
  <c r="DN50" i="6"/>
  <c r="DN36" i="6"/>
  <c r="DN63" i="5"/>
  <c r="DN67" i="5"/>
  <c r="DO68" i="5"/>
  <c r="DO70" i="5"/>
  <c r="DO12" i="5"/>
  <c r="CH18" i="9"/>
  <c r="CH20" i="9"/>
  <c r="CH83" i="9"/>
  <c r="BT75" i="9"/>
  <c r="DA13" i="5"/>
  <c r="DA15" i="5"/>
  <c r="DA33" i="5"/>
  <c r="DA37" i="5"/>
  <c r="DA39" i="5"/>
  <c r="DA84" i="6"/>
  <c r="DA88" i="6"/>
  <c r="DA57" i="6"/>
  <c r="DA58" i="6"/>
  <c r="DA36" i="6"/>
  <c r="DA63" i="5"/>
  <c r="DA67" i="5"/>
  <c r="DA68" i="5"/>
  <c r="DA70" i="5"/>
  <c r="DA12" i="5"/>
  <c r="BT18" i="9"/>
  <c r="BT20" i="9"/>
  <c r="BT91" i="9"/>
  <c r="BT93" i="9"/>
  <c r="BT94" i="9"/>
</calcChain>
</file>

<file path=xl/sharedStrings.xml><?xml version="1.0" encoding="utf-8"?>
<sst xmlns="http://schemas.openxmlformats.org/spreadsheetml/2006/main" count="798" uniqueCount="492">
  <si>
    <t>Associate</t>
  </si>
  <si>
    <t>Vice President</t>
  </si>
  <si>
    <t>Carlos G. Macedo</t>
  </si>
  <si>
    <t>Financial Institutions</t>
  </si>
  <si>
    <t>Credicorp, Inc. (BAP)</t>
  </si>
  <si>
    <t>Int. income on securites</t>
  </si>
  <si>
    <t>Interest expense</t>
  </si>
  <si>
    <t>% yield</t>
  </si>
  <si>
    <t>% yield on interest paying liabilities</t>
  </si>
  <si>
    <t>Average balance</t>
  </si>
  <si>
    <t>Period-end balance</t>
  </si>
  <si>
    <t>Period-end balance of interest paying liabilities</t>
  </si>
  <si>
    <t>Bonds and subordinated debt</t>
  </si>
  <si>
    <t>Acceptances outstanding</t>
  </si>
  <si>
    <t>Due to banks and correspondents</t>
  </si>
  <si>
    <t>Interest bearing deposits</t>
  </si>
  <si>
    <t>Securities</t>
  </si>
  <si>
    <t>Interest paying liabilities</t>
  </si>
  <si>
    <t>Interest income (credit)</t>
  </si>
  <si>
    <t>Interest income</t>
  </si>
  <si>
    <t>% yield on avg. credits</t>
  </si>
  <si>
    <t>% yield on avg. interest earning assets</t>
  </si>
  <si>
    <t>Period-end balance of interest earning assets</t>
  </si>
  <si>
    <t>Due from customers on acceptances</t>
  </si>
  <si>
    <t>Reinsurance assets</t>
  </si>
  <si>
    <t>Investment securities available for sale</t>
  </si>
  <si>
    <t>Marketable securities</t>
  </si>
  <si>
    <t>Interest bearing bank deposits</t>
  </si>
  <si>
    <t>Performing loans</t>
  </si>
  <si>
    <t>Income from financial operations</t>
  </si>
  <si>
    <t>Interest earning assets</t>
  </si>
  <si>
    <t>DPS</t>
  </si>
  <si>
    <t>Reported EPS</t>
  </si>
  <si>
    <t>Shares outstanding</t>
  </si>
  <si>
    <t>Dividends paid</t>
  </si>
  <si>
    <t>Reported net income</t>
  </si>
  <si>
    <t>Extraordinary result</t>
  </si>
  <si>
    <t>Recurring net income</t>
  </si>
  <si>
    <t>Minority interest</t>
  </si>
  <si>
    <t>Net income</t>
  </si>
  <si>
    <t>Income taxes</t>
  </si>
  <si>
    <t>Workers profit sharing</t>
  </si>
  <si>
    <t>Translation result</t>
  </si>
  <si>
    <t>Total operating income</t>
  </si>
  <si>
    <t>Total operating expenses</t>
  </si>
  <si>
    <t>Other</t>
  </si>
  <si>
    <t>Depreciation and amortization</t>
  </si>
  <si>
    <t>Administrative, general and tax expenses</t>
  </si>
  <si>
    <t>Salaries and employees benefits</t>
  </si>
  <si>
    <t>Operating expenses</t>
  </si>
  <si>
    <t>Total other operating income, net</t>
  </si>
  <si>
    <t>Net claims incurred</t>
  </si>
  <si>
    <t>Net premiums earned</t>
  </si>
  <si>
    <t>Insurance premiums and claims</t>
  </si>
  <si>
    <t>Total non financial income, net</t>
  </si>
  <si>
    <t>Net gain on sales of securities</t>
  </si>
  <si>
    <t>Net gain on foreign exchange transactions</t>
  </si>
  <si>
    <t>Fee income</t>
  </si>
  <si>
    <t/>
  </si>
  <si>
    <t>Non financial income</t>
  </si>
  <si>
    <t>Net interest income after provision expenses</t>
  </si>
  <si>
    <t>Provision for loan losses</t>
  </si>
  <si>
    <t>Net interest and dividend income</t>
  </si>
  <si>
    <t>Interest and dividend income</t>
  </si>
  <si>
    <t>Interest income and expense</t>
  </si>
  <si>
    <t>4Q19E</t>
  </si>
  <si>
    <t>3Q19E</t>
  </si>
  <si>
    <t>2Q19E</t>
  </si>
  <si>
    <t>1Q19E</t>
  </si>
  <si>
    <t>4Q18E</t>
  </si>
  <si>
    <t>3Q18E</t>
  </si>
  <si>
    <t>2Q18E</t>
  </si>
  <si>
    <t>1Q18E</t>
  </si>
  <si>
    <t>4Q17E</t>
  </si>
  <si>
    <t>3Q17E</t>
  </si>
  <si>
    <t>2Q17E</t>
  </si>
  <si>
    <t>1Q17E</t>
  </si>
  <si>
    <t>4Q16E</t>
  </si>
  <si>
    <t>3Q16E</t>
  </si>
  <si>
    <t>2Q16E</t>
  </si>
  <si>
    <t>1Q16E</t>
  </si>
  <si>
    <t>1Q13</t>
  </si>
  <si>
    <t>4Q12</t>
  </si>
  <si>
    <t>3Q12</t>
  </si>
  <si>
    <t>2Q12</t>
  </si>
  <si>
    <t>1Q12</t>
  </si>
  <si>
    <t>4Q11</t>
  </si>
  <si>
    <t>3Q11</t>
  </si>
  <si>
    <t>2Q11</t>
  </si>
  <si>
    <t>1Q11</t>
  </si>
  <si>
    <t>4Q10</t>
  </si>
  <si>
    <t>3Q10</t>
  </si>
  <si>
    <t>2Q10</t>
  </si>
  <si>
    <t>1Q10</t>
  </si>
  <si>
    <t>4Q09</t>
  </si>
  <si>
    <t>3Q09</t>
  </si>
  <si>
    <t>2Q09</t>
  </si>
  <si>
    <t>1Q09</t>
  </si>
  <si>
    <t>4Q08</t>
  </si>
  <si>
    <t>3Q08</t>
  </si>
  <si>
    <t>2Q08</t>
  </si>
  <si>
    <t>1Q08</t>
  </si>
  <si>
    <t>4Q07</t>
  </si>
  <si>
    <t>3Q07</t>
  </si>
  <si>
    <t>2Q07</t>
  </si>
  <si>
    <t>1Q07</t>
  </si>
  <si>
    <t>4Q06</t>
  </si>
  <si>
    <t>3Q06</t>
  </si>
  <si>
    <t>2Q06</t>
  </si>
  <si>
    <t>1Q06</t>
  </si>
  <si>
    <t>4Q05</t>
  </si>
  <si>
    <t>3Q05</t>
  </si>
  <si>
    <t>2Q05</t>
  </si>
  <si>
    <t>1Q05</t>
  </si>
  <si>
    <t>4Q04</t>
  </si>
  <si>
    <t>3Q04</t>
  </si>
  <si>
    <t>2Q04</t>
  </si>
  <si>
    <t>1Q04</t>
  </si>
  <si>
    <t>4Q03</t>
  </si>
  <si>
    <t>3Q03</t>
  </si>
  <si>
    <t>2Q03</t>
  </si>
  <si>
    <t>1Q03</t>
  </si>
  <si>
    <t>4Q02</t>
  </si>
  <si>
    <t>3Q02</t>
  </si>
  <si>
    <t>2Q02</t>
  </si>
  <si>
    <t>1Q02</t>
  </si>
  <si>
    <t>4Q01</t>
  </si>
  <si>
    <t>3Q01</t>
  </si>
  <si>
    <t>2Q01</t>
  </si>
  <si>
    <t>1Q01</t>
  </si>
  <si>
    <t>4Q00</t>
  </si>
  <si>
    <t>3Q00</t>
  </si>
  <si>
    <t>2Q00</t>
  </si>
  <si>
    <t>1Q00</t>
  </si>
  <si>
    <t>4Q99</t>
  </si>
  <si>
    <t>3Q99</t>
  </si>
  <si>
    <t>2Q99</t>
  </si>
  <si>
    <t>1Q99</t>
  </si>
  <si>
    <t>4Q98</t>
  </si>
  <si>
    <t>3Q98</t>
  </si>
  <si>
    <t>2Q98</t>
  </si>
  <si>
    <t>1Q98</t>
  </si>
  <si>
    <t>4Q97</t>
  </si>
  <si>
    <t>3Q97</t>
  </si>
  <si>
    <t>2Q97</t>
  </si>
  <si>
    <t>1Q97</t>
  </si>
  <si>
    <t>2019E</t>
  </si>
  <si>
    <t>2018E</t>
  </si>
  <si>
    <t>2017E</t>
  </si>
  <si>
    <t>2016E</t>
  </si>
  <si>
    <t>Income Statement</t>
  </si>
  <si>
    <t>Other liabilities</t>
  </si>
  <si>
    <t>Other assets</t>
  </si>
  <si>
    <t>Ending number of shares</t>
  </si>
  <si>
    <t>Ending balance treasury shares</t>
  </si>
  <si>
    <t>Change in treasury shares</t>
  </si>
  <si>
    <t>Beginning balance treasury shares</t>
  </si>
  <si>
    <t>Average price</t>
  </si>
  <si>
    <t># shares bought back</t>
  </si>
  <si>
    <t>Equity buyback</t>
  </si>
  <si>
    <t>Capital increase</t>
  </si>
  <si>
    <t>Price</t>
  </si>
  <si>
    <t xml:space="preserve"># of shares </t>
  </si>
  <si>
    <t>Equity issuance</t>
  </si>
  <si>
    <t>Ending balance</t>
  </si>
  <si>
    <t>To capital</t>
  </si>
  <si>
    <t>From retained earnings</t>
  </si>
  <si>
    <t>Beginning balance</t>
  </si>
  <si>
    <t>Retained earnings</t>
  </si>
  <si>
    <t>Legal reserve</t>
  </si>
  <si>
    <t>To legal reserve</t>
  </si>
  <si>
    <t>Dividends</t>
  </si>
  <si>
    <t>Write offs</t>
  </si>
  <si>
    <t>Gross provisions</t>
  </si>
  <si>
    <t>Recoveries</t>
  </si>
  <si>
    <t>Net provisions</t>
  </si>
  <si>
    <t>Allowance for doubtful accounts - balance</t>
  </si>
  <si>
    <t>Gross loans</t>
  </si>
  <si>
    <t>Past due loans</t>
  </si>
  <si>
    <t>Credit operations</t>
  </si>
  <si>
    <t>Supplemental calculations</t>
  </si>
  <si>
    <t>Check</t>
  </si>
  <si>
    <t>Total liabilities and net shareholder's</t>
  </si>
  <si>
    <t>Net Shareholder's equity</t>
  </si>
  <si>
    <t>Unrealized gains</t>
  </si>
  <si>
    <t>Reserves</t>
  </si>
  <si>
    <t>Capital surplus</t>
  </si>
  <si>
    <t>Treasury stock</t>
  </si>
  <si>
    <t>Capital stock</t>
  </si>
  <si>
    <t>Total liabilities</t>
  </si>
  <si>
    <t>Reinsurance payable</t>
  </si>
  <si>
    <t>Reserve for unearned premiums</t>
  </si>
  <si>
    <t>Reserves for property and casualty claims</t>
  </si>
  <si>
    <t>Total deposits and obligations</t>
  </si>
  <si>
    <t>Non-interest bearing deposits</t>
  </si>
  <si>
    <t>LIABILITIES AND SHAREHOLDERS' EQUITY</t>
  </si>
  <si>
    <t>Total Assets</t>
  </si>
  <si>
    <t>Property, plant and equipment, net</t>
  </si>
  <si>
    <t>Premiums and other policyholder receivables</t>
  </si>
  <si>
    <t>Loans, net</t>
  </si>
  <si>
    <t>Less - Reserve for possible loan losses</t>
  </si>
  <si>
    <t>Past Due Loans</t>
  </si>
  <si>
    <t>Current Loans</t>
  </si>
  <si>
    <t>Loans</t>
  </si>
  <si>
    <t>Investments securities available for sale</t>
  </si>
  <si>
    <t>Marketable securities, net</t>
  </si>
  <si>
    <t>Total cash and due from banks</t>
  </si>
  <si>
    <t>Interest bearing</t>
  </si>
  <si>
    <t>Non-interest bearing</t>
  </si>
  <si>
    <t>ASSETS</t>
  </si>
  <si>
    <t>Balance Sheet</t>
  </si>
  <si>
    <t>Minority interest, % of previous period's equity</t>
  </si>
  <si>
    <t>Other liabilities, % growth</t>
  </si>
  <si>
    <t>Reinsurance payable, % of LTM claims</t>
  </si>
  <si>
    <t>Reserve for unearned premiums, % of LTM premiums</t>
  </si>
  <si>
    <t>Reserves for property and casualty claims, % of LTM net premiums</t>
  </si>
  <si>
    <t>Insurance</t>
  </si>
  <si>
    <t>Bonds and subordinated debt, % growth</t>
  </si>
  <si>
    <t>Acceptances outstanding, % of due from customers on acceptances</t>
  </si>
  <si>
    <t>Due to banks and correspondents, % growth</t>
  </si>
  <si>
    <t>Interest bearing deposits, % growth</t>
  </si>
  <si>
    <t>Non-interest bearing deposits, % growth</t>
  </si>
  <si>
    <t>Total deposits, % growth</t>
  </si>
  <si>
    <t>Liabiilities</t>
  </si>
  <si>
    <t>Other assets, % growth</t>
  </si>
  <si>
    <t>PP&amp;E, % growth</t>
  </si>
  <si>
    <t>Premiums and other policyholder receivables, % of LTM net premiums</t>
  </si>
  <si>
    <t>Reinsurance assets, % of total reserves</t>
  </si>
  <si>
    <t>Write offs, % of LTM loan loss reserves</t>
  </si>
  <si>
    <t>Past due loans as a % of total loans</t>
  </si>
  <si>
    <t>Total average loans, % growth</t>
  </si>
  <si>
    <t>Securities available for sale, % growth</t>
  </si>
  <si>
    <t>Marketable securities, % growth</t>
  </si>
  <si>
    <t>Due from customers on acceptances, % growth</t>
  </si>
  <si>
    <t>Interest bearing, % growth</t>
  </si>
  <si>
    <t>Non-interest bearing, % of total assets</t>
  </si>
  <si>
    <t>Assets</t>
  </si>
  <si>
    <t>Balance sheet assumptions</t>
  </si>
  <si>
    <t>Dividend payout ratio</t>
  </si>
  <si>
    <t>Employee profit sharing, % of tax adjusted operating income</t>
  </si>
  <si>
    <t>Minority interest , % of tax adjusted operating income</t>
  </si>
  <si>
    <t>Provision for income tax and social contribution, % of pretax net income</t>
  </si>
  <si>
    <t>Translation result, % of last period's equity</t>
  </si>
  <si>
    <t>Non-operating assumptions</t>
  </si>
  <si>
    <t>Other expense, % of avg. assets</t>
  </si>
  <si>
    <t>Depreciation and amortization, % of PP&amp;E</t>
  </si>
  <si>
    <t>Other administrative expenses, % of average assets</t>
  </si>
  <si>
    <t>Personnel expenses, % of average assets</t>
  </si>
  <si>
    <t>Operating income/(expenses)</t>
  </si>
  <si>
    <t>Increase in cost for life and health policies, % growth</t>
  </si>
  <si>
    <t>Net claims incurred, % of net premiums earned</t>
  </si>
  <si>
    <t>Net premiums earned, % yoy growth</t>
  </si>
  <si>
    <t>Insurance operations</t>
  </si>
  <si>
    <t>Other, % growth</t>
  </si>
  <si>
    <t>Net gain on sales of securities, % of available for sale securities</t>
  </si>
  <si>
    <t>Net gain on foreign exchange transactions, % growth</t>
  </si>
  <si>
    <t>Fee income, % growth</t>
  </si>
  <si>
    <t xml:space="preserve">Fees </t>
  </si>
  <si>
    <t>Recoveries, % of average LTM loan loss reserves</t>
  </si>
  <si>
    <t>Provision expenses, % of avg. loans</t>
  </si>
  <si>
    <t>Interest expense as % of average interest bearing liabilities</t>
  </si>
  <si>
    <t>Interest income as % of average interest earning assets</t>
  </si>
  <si>
    <t>Net interest income and provision expenses</t>
  </si>
  <si>
    <t>Income statement assumptions</t>
  </si>
  <si>
    <t>Currency appreciation/devaluation</t>
  </si>
  <si>
    <t>End of period Exchange Rate (S$/$)</t>
  </si>
  <si>
    <t>Avg. Exchange Rate (S$/$)</t>
  </si>
  <si>
    <t>Inflation (QoQ)</t>
  </si>
  <si>
    <t>Inflation (YoY)</t>
  </si>
  <si>
    <t>Interest rates</t>
  </si>
  <si>
    <t>Real GDP Growth (Y/Y)</t>
  </si>
  <si>
    <t>Macroeconomic assumptions</t>
  </si>
  <si>
    <t>Assumptions</t>
  </si>
  <si>
    <t>BIS Ratio</t>
  </si>
  <si>
    <t>In US$ millions, unless otherwise noted</t>
  </si>
  <si>
    <t>Book value per share, US$, fully diluted</t>
  </si>
  <si>
    <t>Shares outstanding, fully diluted, in 000s</t>
  </si>
  <si>
    <t>Quantum Input</t>
  </si>
  <si>
    <t>Index</t>
  </si>
  <si>
    <t>Default ratio (New NPLs/Average loans)</t>
  </si>
  <si>
    <t xml:space="preserve">   Nominal growth %</t>
  </si>
  <si>
    <t>NPL end of period</t>
  </si>
  <si>
    <t>Charge-offs</t>
  </si>
  <si>
    <t xml:space="preserve">   Nominal growth NPLs, before charge-offs </t>
  </si>
  <si>
    <t>NPL, before charge-offs</t>
  </si>
  <si>
    <t>New NPL</t>
  </si>
  <si>
    <t>NPL start of period</t>
  </si>
  <si>
    <t>Net NPL / equity</t>
  </si>
  <si>
    <t>LLR / NPL</t>
  </si>
  <si>
    <t>LLR / loans</t>
  </si>
  <si>
    <t>Loan loss reserves (LLR)</t>
  </si>
  <si>
    <t>NPL / loans</t>
  </si>
  <si>
    <t>Non-performing loans (NPL)</t>
  </si>
  <si>
    <t>Loans, gross</t>
  </si>
  <si>
    <t>Asset quality</t>
  </si>
  <si>
    <t xml:space="preserve">   % growth, Y-o-Y</t>
  </si>
  <si>
    <t>Avg. equity</t>
  </si>
  <si>
    <t>Avg. securities</t>
  </si>
  <si>
    <t>Avg. loans</t>
  </si>
  <si>
    <t>Avg. assets</t>
  </si>
  <si>
    <t>Avg. interest bearing liabilities</t>
  </si>
  <si>
    <t>Avg. interest earning assets</t>
  </si>
  <si>
    <t xml:space="preserve">Average balances </t>
  </si>
  <si>
    <t>Equity / assets</t>
  </si>
  <si>
    <t>Cash and equivalents to deposits</t>
  </si>
  <si>
    <t>Loans to deposits</t>
  </si>
  <si>
    <t>Securities to assets</t>
  </si>
  <si>
    <t>Loans to assets</t>
  </si>
  <si>
    <t>Balance sheet ratios</t>
  </si>
  <si>
    <t xml:space="preserve">   % growth YoY</t>
  </si>
  <si>
    <t>Total interest bearing liabilities</t>
  </si>
  <si>
    <t>Total interest earning assets</t>
  </si>
  <si>
    <t xml:space="preserve">Total shareholders' equity </t>
  </si>
  <si>
    <t>Total deposits</t>
  </si>
  <si>
    <t>Loan loss reserves</t>
  </si>
  <si>
    <t>Performing loans, gross</t>
  </si>
  <si>
    <t>Total assets</t>
  </si>
  <si>
    <t xml:space="preserve">Balance sheet </t>
  </si>
  <si>
    <t>Core bank income, before provisions</t>
  </si>
  <si>
    <t>Core bank revenue before provisions</t>
  </si>
  <si>
    <t>Total non-interest income</t>
  </si>
  <si>
    <t>Total non-interest revenue</t>
  </si>
  <si>
    <t>Net interest income (NII)</t>
  </si>
  <si>
    <t>Core bank income</t>
  </si>
  <si>
    <t>Core bank revenue</t>
  </si>
  <si>
    <t xml:space="preserve">Capitalization premiums, insurance and pension plans  </t>
  </si>
  <si>
    <t>Insurance contribution</t>
  </si>
  <si>
    <t>Administrative and personnel expenses</t>
  </si>
  <si>
    <t>Commissions and fees</t>
  </si>
  <si>
    <t>Loan loss provisions</t>
  </si>
  <si>
    <t>Income Statement growth</t>
  </si>
  <si>
    <t>Effective tax rate</t>
  </si>
  <si>
    <t>LLP / avg. loans</t>
  </si>
  <si>
    <t>LLP / net interest income</t>
  </si>
  <si>
    <t>Loan loss provisions (LLP) / net interest income</t>
  </si>
  <si>
    <t>Administrative and personnel expenses / avg. assets</t>
  </si>
  <si>
    <t>Efficiency ratio</t>
  </si>
  <si>
    <t>Fees / core bank income , before provisions</t>
  </si>
  <si>
    <t>Fees / avg assets</t>
  </si>
  <si>
    <t>Spread</t>
  </si>
  <si>
    <t>Cost of interest bearing liabilities</t>
  </si>
  <si>
    <t>Yield on average interest earning assets</t>
  </si>
  <si>
    <t xml:space="preserve">NIM </t>
  </si>
  <si>
    <t>Net interest margin (NIM)</t>
  </si>
  <si>
    <t>ROA</t>
  </si>
  <si>
    <t>ROE</t>
  </si>
  <si>
    <t>Profitability / income statement ratios</t>
  </si>
  <si>
    <t>Recurring profitability / income statement ratios</t>
  </si>
  <si>
    <t>Shares outstanding, in 000s</t>
  </si>
  <si>
    <t xml:space="preserve">   % growth yoy</t>
  </si>
  <si>
    <t xml:space="preserve">   % growth</t>
  </si>
  <si>
    <t>Dividends per share, local currency</t>
  </si>
  <si>
    <t>Dividends per share, US$, fully diluted</t>
  </si>
  <si>
    <t xml:space="preserve">   % growth,</t>
  </si>
  <si>
    <t>Book value per share</t>
  </si>
  <si>
    <t>Recurring EPS, S$, fully diluted</t>
  </si>
  <si>
    <t>Recurring EPS, US$, fully diluted</t>
  </si>
  <si>
    <t>Reported EPS, US$, fully diluted</t>
  </si>
  <si>
    <t>Per Share data</t>
  </si>
  <si>
    <t>Extraordinary gains/losses, net of taxes</t>
  </si>
  <si>
    <t xml:space="preserve">Recurring net income   </t>
  </si>
  <si>
    <t xml:space="preserve">Minority interest  </t>
  </si>
  <si>
    <t>Net income, before minority interest</t>
  </si>
  <si>
    <t>Profit Sharing</t>
  </si>
  <si>
    <t xml:space="preserve">Income tax and social contribution  </t>
  </si>
  <si>
    <t xml:space="preserve">Income before taxes and profit sharing  </t>
  </si>
  <si>
    <t xml:space="preserve">Non operating income  </t>
  </si>
  <si>
    <t xml:space="preserve">Operating income  </t>
  </si>
  <si>
    <t>Other operating income / (expenses)</t>
  </si>
  <si>
    <t xml:space="preserve">Equity share in income of subsidiaries and affiliates   </t>
  </si>
  <si>
    <t>Gains in the sale of securities</t>
  </si>
  <si>
    <t>Foreign exchange gains</t>
  </si>
  <si>
    <t xml:space="preserve">Other administrative expenses  </t>
  </si>
  <si>
    <t xml:space="preserve">Salaries and employee benefits    </t>
  </si>
  <si>
    <t xml:space="preserve">Net income from financial operations  </t>
  </si>
  <si>
    <t xml:space="preserve">Provision for loan losses  </t>
  </si>
  <si>
    <t>Net income from financial operations before loan losses</t>
  </si>
  <si>
    <t>Interest Expense</t>
  </si>
  <si>
    <t>Interest Income</t>
  </si>
  <si>
    <t>Exchange rate, avg.</t>
  </si>
  <si>
    <t>Exchange rate, avg. (S$/US$)</t>
  </si>
  <si>
    <t>Exchange rate, EOP</t>
  </si>
  <si>
    <t>Exchange rate, EOP (S$/US$)</t>
  </si>
  <si>
    <t>Inflation, YoY</t>
  </si>
  <si>
    <t>Interest rates, Selic, EOP</t>
  </si>
  <si>
    <t>Real GDP growth, YoY</t>
  </si>
  <si>
    <t>Summary</t>
  </si>
  <si>
    <t>Growth in average assets</t>
  </si>
  <si>
    <t>Leverage</t>
  </si>
  <si>
    <t>Non-operating income and minority interest</t>
  </si>
  <si>
    <t>Operating income</t>
  </si>
  <si>
    <t>Other income/expenses</t>
  </si>
  <si>
    <t>Sales tax expenses</t>
  </si>
  <si>
    <t>Gains with FX and the sale of securities</t>
  </si>
  <si>
    <t>Other administrative expenses</t>
  </si>
  <si>
    <t>Personnel expenses (including profit sharing)</t>
  </si>
  <si>
    <t>Net insurance result</t>
  </si>
  <si>
    <t>Commission and fee income</t>
  </si>
  <si>
    <t>Net interest income after provisions expense</t>
  </si>
  <si>
    <t>Provisions expenses</t>
  </si>
  <si>
    <t>Net interest income before provisions expense</t>
  </si>
  <si>
    <t>Quarterly (annualized)</t>
  </si>
  <si>
    <t>Yearly</t>
  </si>
  <si>
    <t>As a % of average asset, unless otherwise noted</t>
  </si>
  <si>
    <t>ROE Decomposition</t>
  </si>
  <si>
    <t>Avg. 3rd-stage (terminal) growth rate (nominal US$)</t>
  </si>
  <si>
    <t>Avg. 2nd-stage growth rate of FCF (nominal US$)</t>
  </si>
  <si>
    <t>Implied LT ROE</t>
  </si>
  <si>
    <t>Multiples (Target Price)</t>
  </si>
  <si>
    <t>Terminal growth rate</t>
  </si>
  <si>
    <t>Perpetuity</t>
  </si>
  <si>
    <t>3rd-stage growth period</t>
  </si>
  <si>
    <t>Target 12-month P/BV (ex-premium/discount)</t>
  </si>
  <si>
    <t>2nd-stage growth period</t>
  </si>
  <si>
    <t>12-month target price (US$)</t>
  </si>
  <si>
    <t xml:space="preserve">1st-stage explicit forecast </t>
  </si>
  <si>
    <t>Gordon Growth Proxy</t>
  </si>
  <si>
    <t>Input data for 3-stage growth model</t>
  </si>
  <si>
    <t>Present value of perpetuity</t>
  </si>
  <si>
    <t>Current market capitalization (US$ mn)</t>
  </si>
  <si>
    <t>Enterprise FC equity year 11</t>
  </si>
  <si>
    <t>Multiples (Current Price)</t>
  </si>
  <si>
    <t>Number of shares  (mn)</t>
  </si>
  <si>
    <t>Cost of equity</t>
  </si>
  <si>
    <t>Last reported quarter</t>
  </si>
  <si>
    <t>Present value FC equity</t>
  </si>
  <si>
    <t xml:space="preserve">Mkt. cap data </t>
  </si>
  <si>
    <t>Future dividend payments (US$)</t>
  </si>
  <si>
    <t xml:space="preserve">Equity risk premium </t>
  </si>
  <si>
    <t xml:space="preserve">Beta </t>
  </si>
  <si>
    <t>12-month upside or downside</t>
  </si>
  <si>
    <t>Year</t>
  </si>
  <si>
    <t>Risk premium Peru</t>
  </si>
  <si>
    <t>US risk-free rate (10-yr. bond yield)</t>
  </si>
  <si>
    <t>Discount rate calculation</t>
  </si>
  <si>
    <t>% Growth</t>
  </si>
  <si>
    <t>Present value of all enterprise free-cash flows</t>
  </si>
  <si>
    <t>(+) PV of terminal value at the beginning of year 11</t>
  </si>
  <si>
    <t>(+) PV of cash flows in years 5 to 10</t>
  </si>
  <si>
    <t>Premium or discount</t>
  </si>
  <si>
    <t>(+) PV of cash flow in 5-year explicit forecast period</t>
  </si>
  <si>
    <t>1st stage (explicit modeling next 5 yrs - yrs. defined as next 4 Q's)</t>
  </si>
  <si>
    <t>PV of enterprise free-cash flows each stage</t>
  </si>
  <si>
    <t>Three-stage valuation model, discounted dividend model</t>
  </si>
  <si>
    <t>2Q13</t>
  </si>
  <si>
    <t>Marcelo Cintra</t>
  </si>
  <si>
    <t>3Q13</t>
  </si>
  <si>
    <t>4Q13</t>
  </si>
  <si>
    <t>In NS$ thousands, unless otherwise noted</t>
  </si>
  <si>
    <t>In NS$ million, unless otherwise noted</t>
  </si>
  <si>
    <t>Net technical commissions and Expenses</t>
  </si>
  <si>
    <t>Target price in NS$</t>
  </si>
  <si>
    <t>Target price in USD</t>
  </si>
  <si>
    <t>Number of shares ("ADR") (mn)</t>
  </si>
  <si>
    <t>Dividend payments (NS$)</t>
  </si>
  <si>
    <t>Intrinsic value (NS$)</t>
  </si>
  <si>
    <t>Current share price (US$)</t>
  </si>
  <si>
    <t>12-month intrinsic value (NS$)</t>
  </si>
  <si>
    <t>1Q14</t>
  </si>
  <si>
    <t>1Q20E</t>
  </si>
  <si>
    <t>2Q20E</t>
  </si>
  <si>
    <t>3Q20E</t>
  </si>
  <si>
    <t>4Q20E</t>
  </si>
  <si>
    <t>2020E</t>
  </si>
  <si>
    <t>2Q14</t>
  </si>
  <si>
    <t xml:space="preserve">Average daily balances </t>
  </si>
  <si>
    <t>(212) 902-7211</t>
  </si>
  <si>
    <t>(55-11) 3372-0833</t>
  </si>
  <si>
    <t>Tyson Bryan</t>
  </si>
  <si>
    <t>Analyst</t>
  </si>
  <si>
    <t>(801) 741-5745</t>
  </si>
  <si>
    <t>3Q14</t>
  </si>
  <si>
    <t>4Q14</t>
  </si>
  <si>
    <t>P/E 2016E</t>
  </si>
  <si>
    <t>1Q21E</t>
  </si>
  <si>
    <t>2Q21E</t>
  </si>
  <si>
    <t>3Q21E</t>
  </si>
  <si>
    <t>4Q21E</t>
  </si>
  <si>
    <t>2021E</t>
  </si>
  <si>
    <t>1Q15</t>
  </si>
  <si>
    <t>2Q15</t>
  </si>
  <si>
    <t>Reported EPS, NS$, fully diluted</t>
  </si>
  <si>
    <t>Recurring EPS, NS$, fully diluted</t>
  </si>
  <si>
    <t>3Q15</t>
  </si>
  <si>
    <t>Steven Goncalves</t>
  </si>
  <si>
    <t>(212) 902-4175</t>
  </si>
  <si>
    <t>4Q15</t>
  </si>
  <si>
    <t>P/E 2015</t>
  </si>
  <si>
    <t>P/E 2017E</t>
  </si>
  <si>
    <t>P/BV 2015</t>
  </si>
  <si>
    <t>P/BV 2016E</t>
  </si>
  <si>
    <t>Model dated February 12,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</si>
</sst>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#,##0_);\(&quot;$&quot;#,##0\)"/>
    <numFmt numFmtId="167" formatCode="&quot;$&quot;#,##0_);[Red]\(&quot;$&quot;#,##0\)"/>
    <numFmt numFmtId="168" formatCode="&quot;$&quot;#,##0.00_);[Red]\(&quot;$&quot;#,##0.00\)"/>
    <numFmt numFmtId="169" formatCode="_(&quot;$&quot;* #,##0_);_(&quot;$&quot;* \(#,##0\);_(&quot;$&quot;* &quot;-&quot;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* #,##0.00_);_(* \(#,##0.00\);_(* &quot;-&quot;??_);_(@_)"/>
    <numFmt numFmtId="173" formatCode="d\-mmm\-yyyy"/>
    <numFmt numFmtId="174" formatCode="#,##0.0\ ;\(#,##0.0\)"/>
    <numFmt numFmtId="175" formatCode="&quot;$&quot;#,##0.0;\(&quot;$&quot;#,##0.0\)"/>
    <numFmt numFmtId="176" formatCode="0.0_)\%;\(0.0\)\%;0.0_)\%;@_)_%"/>
    <numFmt numFmtId="177" formatCode="#,##0.0_)_%;\(#,##0.0\)_%;0.0_)_%;@_)_%"/>
    <numFmt numFmtId="178" formatCode="#,##0.0_);\(#,##0.0\);#,##0.0_);@_)"/>
    <numFmt numFmtId="179" formatCode="#,##0.0_);\(#,##0.0\)"/>
    <numFmt numFmtId="180" formatCode="&quot;$&quot;_(#,##0.00_);&quot;$&quot;\(#,##0.00\);&quot;$&quot;_(0.00_);@_)"/>
    <numFmt numFmtId="181" formatCode="&quot;$&quot;_(#,##0.00_);&quot;$&quot;\(#,##0.00\)"/>
    <numFmt numFmtId="182" formatCode="&quot;£&quot;_(#,##0.00_);&quot;£&quot;\(#,##0.00\);&quot;£&quot;_(0.00_);@_)"/>
    <numFmt numFmtId="183" formatCode="#,##0.00_);\(#,##0.00\);0.00_);@_)"/>
    <numFmt numFmtId="184" formatCode="\€_(#,##0.00_);\€\(#,##0.00\);\€_(0.00_);@_)"/>
    <numFmt numFmtId="185" formatCode="#,##0_)\x;\(#,##0\)\x;0_)\x;@_)_x"/>
    <numFmt numFmtId="186" formatCode="#,##0.0_)\x;\(#,##0.0\)\x"/>
    <numFmt numFmtId="187" formatCode="#,##0_)_x;\(#,##0\)_x;0_)_x;@_)_x"/>
    <numFmt numFmtId="188" formatCode="#,##0.0_)_x;\(#,##0.0\)_x"/>
    <numFmt numFmtId="189" formatCode="0.0_)\%;\(0.0\)\%"/>
    <numFmt numFmtId="190" formatCode="#,##0.0_)_%;\(#,##0.0\)_%"/>
    <numFmt numFmtId="191" formatCode="&quot;$&quot;#,##0.000_);[Red]\(&quot;$&quot;#,##0.000\)"/>
    <numFmt numFmtId="192" formatCode="#,##0.0000_);[Red]\(#,##0.0000\)"/>
    <numFmt numFmtId="193" formatCode="_(* #,##0.0000000_);_(* \(#,##0.0000000\);_(* &quot;-&quot;??_);_(@_)"/>
    <numFmt numFmtId="194" formatCode="#,##0;\(#,##0\)"/>
    <numFmt numFmtId="195" formatCode="0\A"/>
    <numFmt numFmtId="196" formatCode="[$$-409]#,##0.00"/>
    <numFmt numFmtId="197" formatCode="&quot;$&quot;#,##0"/>
    <numFmt numFmtId="198" formatCode="0.0%"/>
    <numFmt numFmtId="199" formatCode="#,##0.0_);[Red]\(#,##0.0\)"/>
    <numFmt numFmtId="200" formatCode="&quot;$&quot;#,###.00_);\(&quot;$&quot;#,###.00\);;&quot;num required&quot;\)"/>
    <numFmt numFmtId="201" formatCode="&quot;$&quot;#,##0.0000_);[Red]\(&quot;$&quot;#,##0.0000\)"/>
    <numFmt numFmtId="202" formatCode="#,##0_);\(#,##0\);"/>
    <numFmt numFmtId="203" formatCode="&quot;$&quot;* #,##0_);&quot;$&quot;* \(#,##0\);;&quot;num required&quot;\)"/>
    <numFmt numFmtId="204" formatCode="&quot;$&quot;#,##0.0\ \ \ ;\(&quot;$&quot;#,##0.0\)\ \ \ \ "/>
    <numFmt numFmtId="205" formatCode="#,##0;[Red]\(#,##0\)"/>
    <numFmt numFmtId="206" formatCode="0.00_);\(0.00\);0.00"/>
    <numFmt numFmtId="207" formatCode="\ \ \ \ &quot;$&quot;* #,##0.0_);[Red]\(\ \ \ &quot;$&quot;* #,##0.0\)"/>
    <numFmt numFmtId="208" formatCode="\ &quot;$&quot;* #,##0.0_);\ &quot;$&quot;* \(#,##0.0\);;&quot;num required&quot;\)"/>
    <numFmt numFmtId="209" formatCode="0.0#"/>
    <numFmt numFmtId="210" formatCode="m/d/yy_%_)"/>
    <numFmt numFmtId="211" formatCode="#,##0\ ;\(#,##0\)\ "/>
    <numFmt numFmtId="212" formatCode="&quot;$&quot;* \ #,###.000_);\(&quot;$&quot;* \ #,###.000\);;&quot;num required&quot;\)"/>
    <numFmt numFmtId="213" formatCode="#,##0.000_);\(#,##0.000\)"/>
    <numFmt numFmtId="214" formatCode="\$0.00;\(\$0.00\)"/>
    <numFmt numFmtId="215" formatCode="&quot;$&quot;* \ #,###.00_);&quot;$&quot;* \ \(#,###.00\);;&quot;num required&quot;\)"/>
    <numFmt numFmtId="216" formatCode="\ \ \ \ &quot;$&quot;* #,##0.0"/>
    <numFmt numFmtId="217" formatCode="\ \ &quot;$&quot;* #,##0.0_);&quot;$&quot;* \(#,##0.0\);;&quot;num required&quot;\)"/>
    <numFmt numFmtId="218" formatCode="&quot;$&quot;* #,##0.00"/>
    <numFmt numFmtId="219" formatCode="\ \ &quot;$&quot;* #,##0.00"/>
    <numFmt numFmtId="220" formatCode="\ \ &quot;$&quot;* #,###.000_);\(\ \ &quot;$&quot;* #,###.000\);;&quot;num required&quot;\)"/>
    <numFmt numFmtId="221" formatCode="#,###.0_);\(#,###.0\)"/>
    <numFmt numFmtId="222" formatCode="#,###.##_);\(#,###.##\);"/>
    <numFmt numFmtId="223" formatCode="&quot;$&quot;* #,##0.#_);&quot;$&quot;* \(#,##0.#\);;&quot;num required&quot;\)"/>
    <numFmt numFmtId="224" formatCode="_-[$€-2]\ * #,##0.00_-;\-[$€-2]\ * #,##0.00_-;_-[$€-2]\ * &quot;-&quot;??_-"/>
    <numFmt numFmtId="225" formatCode="0.0&quot;  &quot;"/>
    <numFmt numFmtId="226" formatCode="#,##0.0"/>
    <numFmt numFmtId="227" formatCode="_-* #,##0_-;\(#,##0\);_-* &quot;–&quot;_-;_-@_-"/>
    <numFmt numFmtId="228" formatCode="&quot;$&quot;#,##0\ \ \ ;\(&quot;$&quot;#,##0\)\ \ "/>
    <numFmt numFmtId="229" formatCode="0.00%;\(0.00%\)"/>
    <numFmt numFmtId="230" formatCode="0.00_);\(0.00\)"/>
    <numFmt numFmtId="231" formatCode="_(&quot;R$&quot;* #,##0_);_(&quot;R$&quot;* \(#,##0\);_(&quot;R$&quot;* &quot;-&quot;_);_(@_)"/>
    <numFmt numFmtId="232" formatCode="_(&quot;R$&quot;* #,##0.00_);_(&quot;R$&quot;* \(#,##0.00\);_(&quot;R$&quot;* &quot;-&quot;??_);_(@_)"/>
    <numFmt numFmtId="233" formatCode="&quot;$&quot;#,##0.00000000000_);[Red]\(&quot;$&quot;#,##0.00000000000\)"/>
    <numFmt numFmtId="234" formatCode="General_)"/>
    <numFmt numFmtId="235" formatCode="#,##0.0\ \ \ ;\(#,##0.0\)\ \ "/>
    <numFmt numFmtId="236" formatCode="0.0%_);[Red]\(0.0%\)"/>
    <numFmt numFmtId="237" formatCode="#,##0.0\%_);\(#,##0.0\%\);#,##0.0\%_);@_%_)"/>
    <numFmt numFmtId="238" formatCode="0.00\%;\-0.00\%;0.00\%"/>
    <numFmt numFmtId="239" formatCode="#,##0.000;\(#,##0.000\)"/>
    <numFmt numFmtId="240" formatCode="0.00\x;\-0.00\x;0.00\x"/>
    <numFmt numFmtId="241" formatCode="&quot;Ch$&quot;#,##0.00_);\(&quot;Ch$&quot;#,##0.00\)"/>
    <numFmt numFmtId="242" formatCode="0.0"/>
    <numFmt numFmtId="243" formatCode="##0.00000"/>
    <numFmt numFmtId="244" formatCode="#,##0;\(#,##0\);\–;@"/>
    <numFmt numFmtId="245" formatCode="\$\ #,##0;&quot;£&quot;\ \-#,##0"/>
    <numFmt numFmtId="246" formatCode="&quot;$&quot;* #,##0.0_);&quot;$&quot;* \(#,##0.0\);;&quot;num required&quot;\)"/>
    <numFmt numFmtId="247" formatCode="0.0_)"/>
    <numFmt numFmtId="248" formatCode="#,##0.0;\(#,##0.0\)"/>
    <numFmt numFmtId="249" formatCode="0.00_)"/>
    <numFmt numFmtId="250" formatCode="\¥#,##0.00_);\(\¥#,##0.00\)"/>
    <numFmt numFmtId="251" formatCode="_(* #,##0_);_(* \(#,##0\);_(* &quot;-&quot;??_);_(@_)"/>
    <numFmt numFmtId="252" formatCode="#,##0.0%_);[Red]\(#,##0.0%\)"/>
    <numFmt numFmtId="253" formatCode="0.0%;\(0.0%\)"/>
    <numFmt numFmtId="254" formatCode="0.0000%"/>
    <numFmt numFmtId="255" formatCode="_(* #,##0.0_);_(* \(#,##0.0\);_(* &quot;-&quot;??_);_(@_)"/>
    <numFmt numFmtId="256" formatCode="0.0\ \x"/>
    <numFmt numFmtId="257" formatCode="0.000000000000000%"/>
    <numFmt numFmtId="258" formatCode="0&quot; years&quot;"/>
    <numFmt numFmtId="259" formatCode="0.0\X"/>
    <numFmt numFmtId="260" formatCode="_-* #,##0_-;\-* #,##0_-;_-* &quot;-&quot;??_-;_-@_-"/>
    <numFmt numFmtId="261" formatCode="\+0%;\-0%"/>
    <numFmt numFmtId="262" formatCode="#,##0.0_)\x;\(#,##0.0\)\x;0.0_)\x;@_)_x"/>
    <numFmt numFmtId="263" formatCode="#,##0.0_)_x;\(#,##0.0\)_x;0.0_)_x;@_)_x"/>
    <numFmt numFmtId="264" formatCode="0\p"/>
    <numFmt numFmtId="265" formatCode="#,##0.00;;;[White]General"/>
    <numFmt numFmtId="266" formatCode="#,##0.000_);[Red]\(#,##0.000\)"/>
    <numFmt numFmtId="267" formatCode="&quot;$&quot;0.0"/>
    <numFmt numFmtId="268" formatCode="_(&quot;CHF&quot;* #,##0.0_);_(&quot;CHF&quot;* \(#,##0.0\);_(&quot;CHF&quot;* &quot;-&quot;??_);_(@_)"/>
    <numFmt numFmtId="269" formatCode="&quot;$&quot;#,##0.00"/>
    <numFmt numFmtId="270" formatCode="_(* #,##0.000_);_(* \(#,##0.000\);_(* &quot;-&quot;??_);_(@_)"/>
  </numFmts>
  <fonts count="151">
    <font>
      <sz val="11"/>
      <color theme="1"/>
      <name val="Univers LT Std 55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0"/>
      <name val="GS TheSans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2"/>
      <color indexed="1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6"/>
      <color indexed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6"/>
      <color indexed="18"/>
      <name val="Arial"/>
      <family val="2"/>
    </font>
    <font>
      <sz val="10"/>
      <name val="Courier"/>
      <family val="3"/>
    </font>
    <font>
      <b/>
      <sz val="10"/>
      <name val="MS Sans Serif"/>
      <family val="2"/>
    </font>
    <font>
      <sz val="8"/>
      <name val="Tms Rmn"/>
    </font>
    <font>
      <sz val="9"/>
      <color indexed="12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imes New Roman"/>
      <family val="1"/>
    </font>
    <font>
      <sz val="14"/>
      <name val="AngsanaUPC"/>
      <family val="1"/>
      <charset val="222"/>
    </font>
    <font>
      <sz val="12"/>
      <name val="Helv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b/>
      <sz val="10"/>
      <color indexed="8"/>
      <name val="Arial"/>
      <family val="2"/>
    </font>
    <font>
      <sz val="12"/>
      <name val="¹ÙÅÁÃ¼"/>
      <family val="1"/>
      <charset val="129"/>
    </font>
    <font>
      <b/>
      <sz val="8"/>
      <color indexed="32"/>
      <name val="Arial"/>
      <family val="2"/>
    </font>
    <font>
      <b/>
      <sz val="7"/>
      <color indexed="32"/>
      <name val="MS Sans Serif"/>
      <family val="2"/>
    </font>
    <font>
      <b/>
      <sz val="8"/>
      <color indexed="32"/>
      <name val="MS Sans Serif"/>
      <family val="2"/>
    </font>
    <font>
      <sz val="12"/>
      <name val="Arial"/>
      <family val="2"/>
    </font>
    <font>
      <sz val="9"/>
      <color indexed="9"/>
      <name val="Times New Roman"/>
      <family val="1"/>
    </font>
    <font>
      <sz val="8"/>
      <color indexed="12"/>
      <name val="Tms Rmn"/>
      <family val="1"/>
    </font>
    <font>
      <sz val="7"/>
      <name val="Times New Roman"/>
      <family val="1"/>
    </font>
    <font>
      <sz val="9"/>
      <name val="Times New Roman"/>
      <family val="1"/>
    </font>
    <font>
      <sz val="12"/>
      <name val="¹ÙÅÁÃ¼"/>
      <charset val="129"/>
    </font>
    <font>
      <b/>
      <sz val="8"/>
      <name val="Times New Roman"/>
      <family val="1"/>
    </font>
    <font>
      <sz val="10"/>
      <color indexed="18"/>
      <name val="Times New Roman"/>
      <family val="1"/>
    </font>
    <font>
      <sz val="10"/>
      <name val="MS Sans Serif"/>
      <family val="2"/>
    </font>
    <font>
      <sz val="9"/>
      <name val="Helv"/>
    </font>
    <font>
      <sz val="8"/>
      <name val="MS Sans Serif"/>
      <family val="2"/>
    </font>
    <font>
      <sz val="10"/>
      <name val="Geneva"/>
      <family val="2"/>
    </font>
    <font>
      <sz val="10"/>
      <color indexed="24"/>
      <name val="Arial"/>
      <family val="2"/>
    </font>
    <font>
      <sz val="24"/>
      <name val="MS Sans Serif"/>
      <family val="2"/>
    </font>
    <font>
      <b/>
      <sz val="24"/>
      <name val="Times New Roman"/>
      <family val="1"/>
    </font>
    <font>
      <b/>
      <sz val="8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0"/>
      <name val="Helv"/>
    </font>
    <font>
      <sz val="10"/>
      <color indexed="10"/>
      <name val="Arial"/>
      <family val="2"/>
    </font>
    <font>
      <b/>
      <sz val="8.5"/>
      <color indexed="17"/>
      <name val="Arial"/>
      <family val="2"/>
    </font>
    <font>
      <sz val="8"/>
      <name val="Courier"/>
      <family val="3"/>
    </font>
    <font>
      <b/>
      <sz val="8"/>
      <name val="Courier"/>
      <family val="3"/>
    </font>
    <font>
      <b/>
      <u/>
      <sz val="10"/>
      <name val="Courier"/>
      <family val="3"/>
    </font>
    <font>
      <sz val="7"/>
      <name val="Arial"/>
      <family val="2"/>
    </font>
    <font>
      <b/>
      <sz val="7"/>
      <color indexed="17"/>
      <name val="Arial"/>
      <family val="2"/>
    </font>
    <font>
      <sz val="8.5"/>
      <color indexed="8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u/>
      <sz val="10"/>
      <color indexed="18"/>
      <name val="Arial"/>
      <family val="2"/>
    </font>
    <font>
      <u/>
      <sz val="12"/>
      <color indexed="36"/>
      <name val="Arial"/>
      <family val="2"/>
    </font>
    <font>
      <u/>
      <sz val="9"/>
      <color indexed="12"/>
      <name val="Arial"/>
      <family val="2"/>
    </font>
    <font>
      <b/>
      <sz val="14"/>
      <name val="Arial"/>
      <family val="2"/>
    </font>
    <font>
      <sz val="8"/>
      <color indexed="9"/>
      <name val="Arial"/>
      <family val="2"/>
    </font>
    <font>
      <sz val="8"/>
      <name val="TimesNewRomanPS"/>
    </font>
    <font>
      <i/>
      <sz val="10"/>
      <name val="Helv"/>
    </font>
    <font>
      <sz val="8"/>
      <name val="Helv"/>
    </font>
    <font>
      <sz val="11"/>
      <name val="–¾’©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4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b/>
      <sz val="10"/>
      <name val="Arial CE"/>
      <family val="2"/>
      <charset val="238"/>
    </font>
    <font>
      <sz val="12"/>
      <name val="Helvetica"/>
      <family val="2"/>
    </font>
    <font>
      <sz val="10"/>
      <name val="Tms Rmn"/>
    </font>
    <font>
      <sz val="8"/>
      <name val="Wingdings"/>
      <charset val="2"/>
    </font>
    <font>
      <sz val="8"/>
      <name val="Helv"/>
      <family val="2"/>
    </font>
    <font>
      <sz val="10"/>
      <color indexed="23"/>
      <name val="Arial"/>
      <family val="2"/>
    </font>
    <font>
      <b/>
      <sz val="12"/>
      <name val="MS Sans Serif"/>
      <family val="2"/>
    </font>
    <font>
      <u/>
      <sz val="9"/>
      <color indexed="36"/>
      <name val="Arial"/>
      <family val="2"/>
    </font>
    <font>
      <b/>
      <sz val="8"/>
      <name val="HelveticaNeue Condensed"/>
    </font>
    <font>
      <sz val="8"/>
      <name val="HelveticaNeue LightCond"/>
      <family val="2"/>
    </font>
    <font>
      <b/>
      <sz val="7"/>
      <name val="HelveticaNeue Condensed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1"/>
      <name val="Times New Roman"/>
      <family val="1"/>
    </font>
    <font>
      <b/>
      <sz val="8.5"/>
      <color indexed="8"/>
      <name val="Arial"/>
      <family val="2"/>
    </font>
    <font>
      <b/>
      <sz val="10"/>
      <color indexed="16"/>
      <name val="Times New Roman"/>
      <family val="1"/>
    </font>
    <font>
      <b/>
      <sz val="8"/>
      <color indexed="18"/>
      <name val="Times New Roman"/>
      <family val="1"/>
    </font>
    <font>
      <u/>
      <sz val="8"/>
      <name val="Tms Rmn"/>
    </font>
    <font>
      <b/>
      <sz val="10"/>
      <name val="Times New Roman"/>
      <family val="1"/>
    </font>
    <font>
      <sz val="8"/>
      <name val="丸ｺﾞｼｯｸ"/>
      <family val="3"/>
      <charset val="128"/>
    </font>
    <font>
      <sz val="9"/>
      <color indexed="0"/>
      <name val="Helvetica"/>
      <family val="2"/>
    </font>
    <font>
      <sz val="9"/>
      <color theme="1"/>
      <name val="Helvetica"/>
      <family val="2"/>
    </font>
    <font>
      <sz val="8"/>
      <color indexed="8"/>
      <name val="Arial"/>
      <family val="2"/>
    </font>
    <font>
      <sz val="9"/>
      <color indexed="0"/>
      <name val="Courier"/>
      <family val="3"/>
    </font>
    <font>
      <sz val="8"/>
      <color indexed="12"/>
      <name val="Arial"/>
      <family val="2"/>
    </font>
    <font>
      <sz val="8"/>
      <color theme="1"/>
      <name val="Arial"/>
      <family val="2"/>
    </font>
    <font>
      <b/>
      <sz val="9"/>
      <color indexed="0"/>
      <name val="Helvetica"/>
      <family val="2"/>
    </font>
    <font>
      <b/>
      <sz val="8"/>
      <color indexed="12"/>
      <name val="Arial"/>
      <family val="2"/>
    </font>
    <font>
      <b/>
      <sz val="8"/>
      <color theme="1"/>
      <name val="Arial"/>
      <family val="2"/>
    </font>
    <font>
      <i/>
      <sz val="9"/>
      <color indexed="0"/>
      <name val="Helvetica"/>
      <family val="2"/>
    </font>
    <font>
      <i/>
      <sz val="8"/>
      <color indexed="12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b/>
      <sz val="8"/>
      <color indexed="8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i/>
      <sz val="8"/>
      <color indexed="17"/>
      <name val="Arial"/>
      <family val="2"/>
    </font>
    <font>
      <b/>
      <u/>
      <sz val="8"/>
      <color indexed="8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b/>
      <i/>
      <sz val="8"/>
      <color indexed="12"/>
      <name val="arial"/>
      <family val="2"/>
    </font>
    <font>
      <b/>
      <i/>
      <sz val="8"/>
      <color theme="1"/>
      <name val="Arial"/>
      <family val="2"/>
    </font>
    <font>
      <b/>
      <u/>
      <sz val="8"/>
      <color indexed="12"/>
      <name val="Arial"/>
      <family val="2"/>
    </font>
    <font>
      <b/>
      <u/>
      <sz val="8"/>
      <color theme="1"/>
      <name val="Arial"/>
      <family val="2"/>
    </font>
    <font>
      <u/>
      <sz val="8"/>
      <name val="Arial"/>
      <family val="2"/>
    </font>
    <font>
      <sz val="8"/>
      <color indexed="55"/>
      <name val="Arial"/>
      <family val="2"/>
    </font>
    <font>
      <sz val="11"/>
      <color theme="1"/>
      <name val="Univers LT Std 55"/>
      <family val="2"/>
      <scheme val="minor"/>
    </font>
    <font>
      <sz val="8"/>
      <name val="Tahoma"/>
      <family val="2"/>
    </font>
    <font>
      <sz val="8"/>
      <name val="Helvetica"/>
      <family val="2"/>
    </font>
    <font>
      <b/>
      <sz val="12"/>
      <name val="Tms Rmn"/>
    </font>
    <font>
      <b/>
      <sz val="10"/>
      <color indexed="9"/>
      <name val="Arial"/>
      <family val="2"/>
    </font>
    <font>
      <b/>
      <sz val="10"/>
      <name val="Bookman"/>
      <family val="1"/>
    </font>
    <font>
      <b/>
      <sz val="14"/>
      <name val="Book Antiqua"/>
      <family val="1"/>
    </font>
    <font>
      <sz val="10"/>
      <name val="Book Antiqua"/>
      <family val="1"/>
    </font>
    <font>
      <b/>
      <sz val="8"/>
      <name val="Book Antiqua"/>
      <family val="1"/>
    </font>
    <font>
      <b/>
      <sz val="10"/>
      <name val="Palatino"/>
      <family val="1"/>
    </font>
    <font>
      <sz val="8"/>
      <name val="Book Antiqua"/>
      <family val="1"/>
    </font>
    <font>
      <i/>
      <sz val="7"/>
      <name val="Book Antiqua"/>
      <family val="1"/>
    </font>
    <font>
      <sz val="10"/>
      <color indexed="72"/>
      <name val="System"/>
      <family val="2"/>
    </font>
    <font>
      <b/>
      <sz val="14"/>
      <name val="Bookman"/>
      <family val="1"/>
    </font>
    <font>
      <b/>
      <u/>
      <sz val="9"/>
      <name val="Arial"/>
      <family val="2"/>
    </font>
    <font>
      <b/>
      <u/>
      <sz val="14"/>
      <name val="Book Antiqua"/>
      <family val="1"/>
    </font>
    <font>
      <b/>
      <sz val="7"/>
      <name val="Arial"/>
      <family val="2"/>
    </font>
    <font>
      <sz val="8"/>
      <color theme="0" tint="-0.499984740745262"/>
      <name val="Arial"/>
      <family val="2"/>
    </font>
    <font>
      <b/>
      <sz val="8"/>
      <color rgb="FFFF0000"/>
      <name val="Arial"/>
      <family val="2"/>
    </font>
    <font>
      <sz val="11"/>
      <color indexed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43"/>
      </patternFill>
    </fill>
    <fill>
      <patternFill patternType="gray0625">
        <fgColor indexed="10"/>
        <bgColor indexed="9"/>
      </patternFill>
    </fill>
    <fill>
      <patternFill patternType="lightGray">
        <fgColor indexed="14"/>
        <bgColor indexed="9"/>
      </patternFill>
    </fill>
    <fill>
      <patternFill patternType="lightGray">
        <fgColor indexed="12"/>
      </patternFill>
    </fill>
    <fill>
      <patternFill patternType="solid">
        <fgColor indexed="22"/>
        <bgColor indexed="64"/>
      </patternFill>
    </fill>
    <fill>
      <patternFill patternType="lightGray">
        <fgColor indexed="12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9"/>
      </patternFill>
    </fill>
    <fill>
      <patternFill patternType="darkTrellis">
        <fgColor indexed="13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0"/>
      </patternFill>
    </fill>
    <fill>
      <patternFill patternType="solid">
        <fgColor indexed="6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25"/>
        <bgColor indexed="64"/>
      </patternFill>
    </fill>
    <fill>
      <patternFill patternType="solid">
        <fgColor indexed="18"/>
        <bgColor indexed="64"/>
      </patternFill>
    </fill>
    <fill>
      <patternFill patternType="lightGray">
        <fgColor indexed="15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18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thick">
        <color indexed="9"/>
      </left>
      <right style="thick">
        <color indexed="9"/>
      </right>
      <top/>
      <bottom style="double">
        <color indexed="64"/>
      </bottom>
      <diagonal/>
    </border>
  </borders>
  <cellStyleXfs count="596">
    <xf numFmtId="0" fontId="0" fillId="0" borderId="0"/>
    <xf numFmtId="0" fontId="1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/>
    <xf numFmtId="0" fontId="17" fillId="0" borderId="0">
      <alignment vertical="center"/>
    </xf>
    <xf numFmtId="0" fontId="18" fillId="0" borderId="0" applyNumberFormat="0" applyFill="0" applyBorder="0" applyAlignment="0" applyProtection="0"/>
    <xf numFmtId="174" fontId="2" fillId="0" borderId="0"/>
    <xf numFmtId="175" fontId="19" fillId="0" borderId="0">
      <alignment horizontal="right"/>
    </xf>
    <xf numFmtId="0" fontId="2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/>
    <xf numFmtId="0" fontId="17" fillId="0" borderId="0">
      <alignment vertical="center"/>
    </xf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Font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0" fontId="17" fillId="0" borderId="0">
      <alignment vertical="center"/>
    </xf>
    <xf numFmtId="189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17" fillId="0" borderId="0">
      <alignment vertical="center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2" applyNumberFormat="0" applyFill="0" applyProtection="0">
      <alignment horizontal="center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3" fillId="0" borderId="0" applyNumberFormat="0" applyFill="0" applyBorder="0" applyProtection="0">
      <alignment horizontal="left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171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0" fontId="25" fillId="0" borderId="0"/>
    <xf numFmtId="9" fontId="26" fillId="0" borderId="0"/>
    <xf numFmtId="37" fontId="27" fillId="0" borderId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28" fillId="6" borderId="0" applyNumberFormat="0" applyFont="0" applyBorder="0" applyAlignment="0">
      <alignment horizontal="right"/>
    </xf>
    <xf numFmtId="195" fontId="29" fillId="6" borderId="3" applyFont="0">
      <alignment horizontal="right"/>
    </xf>
    <xf numFmtId="0" fontId="3" fillId="0" borderId="0" applyNumberForma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37" fontId="27" fillId="0" borderId="0"/>
    <xf numFmtId="0" fontId="30" fillId="0" borderId="0">
      <alignment horizontal="center" wrapText="1"/>
      <protection locked="0"/>
    </xf>
    <xf numFmtId="0" fontId="31" fillId="2" borderId="0"/>
    <xf numFmtId="0" fontId="31" fillId="2" borderId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" fontId="33" fillId="0" borderId="0"/>
    <xf numFmtId="198" fontId="34" fillId="0" borderId="0"/>
    <xf numFmtId="40" fontId="35" fillId="0" borderId="0" applyNumberFormat="0" applyFill="0" applyBorder="0" applyAlignment="0"/>
    <xf numFmtId="199" fontId="30" fillId="0" borderId="0" applyFont="0" applyFill="0" applyBorder="0" applyAlignment="0" applyProtection="0"/>
    <xf numFmtId="3" fontId="36" fillId="0" borderId="0" applyFont="0" applyBorder="0" applyAlignment="0" applyProtection="0"/>
    <xf numFmtId="0" fontId="37" fillId="0" borderId="0" applyNumberFormat="0" applyFill="0" applyBorder="0" applyAlignment="0"/>
    <xf numFmtId="0" fontId="38" fillId="0" borderId="0" applyNumberFormat="0" applyFill="0" applyBorder="0" applyAlignment="0" applyProtection="0"/>
    <xf numFmtId="0" fontId="39" fillId="0" borderId="0">
      <alignment horizontal="left"/>
    </xf>
    <xf numFmtId="0" fontId="30" fillId="0" borderId="4" applyNumberFormat="0" applyFont="0" applyFill="0" applyAlignment="0" applyProtection="0"/>
    <xf numFmtId="0" fontId="30" fillId="0" borderId="5" applyNumberFormat="0" applyFont="0" applyFill="0" applyAlignment="0" applyProtection="0"/>
    <xf numFmtId="200" fontId="40" fillId="0" borderId="6" applyFont="0" applyFill="0" applyBorder="0" applyAlignment="0" applyProtection="0"/>
    <xf numFmtId="0" fontId="41" fillId="0" borderId="0"/>
    <xf numFmtId="2" fontId="3" fillId="7" borderId="0" applyNumberFormat="0" applyFont="0" applyBorder="0" applyAlignment="0" applyProtection="0"/>
    <xf numFmtId="201" fontId="1" fillId="0" borderId="0" applyFill="0" applyBorder="0" applyAlignment="0"/>
    <xf numFmtId="199" fontId="42" fillId="0" borderId="0" applyFont="0" applyFill="0" applyBorder="0" applyAlignment="0" applyProtection="0"/>
    <xf numFmtId="202" fontId="25" fillId="0" borderId="0"/>
    <xf numFmtId="203" fontId="25" fillId="0" borderId="0"/>
    <xf numFmtId="1" fontId="43" fillId="0" borderId="0"/>
    <xf numFmtId="0" fontId="44" fillId="0" borderId="0">
      <alignment horizontal="center" wrapText="1"/>
      <protection hidden="1"/>
    </xf>
    <xf numFmtId="204" fontId="45" fillId="0" borderId="0"/>
    <xf numFmtId="204" fontId="45" fillId="0" borderId="0"/>
    <xf numFmtId="204" fontId="45" fillId="0" borderId="0"/>
    <xf numFmtId="204" fontId="45" fillId="0" borderId="0"/>
    <xf numFmtId="204" fontId="45" fillId="0" borderId="0"/>
    <xf numFmtId="204" fontId="45" fillId="0" borderId="0"/>
    <xf numFmtId="204" fontId="45" fillId="0" borderId="0"/>
    <xf numFmtId="204" fontId="45" fillId="0" borderId="0"/>
    <xf numFmtId="205" fontId="46" fillId="0" borderId="0"/>
    <xf numFmtId="40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4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9" fillId="8" borderId="0">
      <alignment horizontal="center" vertical="center" wrapText="1"/>
    </xf>
    <xf numFmtId="0" fontId="50" fillId="0" borderId="0" applyNumberFormat="0" applyFill="0" applyBorder="0">
      <alignment horizontal="right"/>
    </xf>
    <xf numFmtId="0" fontId="1" fillId="8" borderId="0">
      <alignment horizontal="center" vertical="center" wrapText="1"/>
    </xf>
    <xf numFmtId="0" fontId="1" fillId="0" borderId="0" applyNumberFormat="0" applyAlignment="0">
      <alignment horizontal="left"/>
    </xf>
    <xf numFmtId="206" fontId="1" fillId="0" borderId="0" applyFill="0" applyBorder="0">
      <alignment horizontal="right"/>
      <protection locked="0"/>
    </xf>
    <xf numFmtId="207" fontId="25" fillId="0" borderId="0" applyFont="0" applyFill="0" applyBorder="0" applyAlignment="0" applyProtection="0"/>
    <xf numFmtId="168" fontId="1" fillId="0" borderId="7">
      <protection locked="0"/>
    </xf>
    <xf numFmtId="208" fontId="40" fillId="0" borderId="0" applyFont="0" applyFill="0" applyBorder="0" applyAlignment="0" applyProtection="0"/>
    <xf numFmtId="209" fontId="1" fillId="9" borderId="0" applyFont="0" applyBorder="0"/>
    <xf numFmtId="210" fontId="30" fillId="0" borderId="0" applyFont="0" applyFill="0" applyBorder="0" applyProtection="0">
      <alignment horizontal="right"/>
    </xf>
    <xf numFmtId="17" fontId="51" fillId="0" borderId="0" applyFill="0" applyBorder="0">
      <alignment horizontal="right"/>
    </xf>
    <xf numFmtId="15" fontId="44" fillId="0" borderId="0"/>
    <xf numFmtId="14" fontId="42" fillId="0" borderId="0" applyFont="0" applyFill="0" applyBorder="0" applyAlignment="0" applyProtection="0">
      <alignment horizontal="center"/>
    </xf>
    <xf numFmtId="211" fontId="45" fillId="0" borderId="0" applyFont="0" applyFill="0" applyBorder="0" applyAlignment="0" applyProtection="0">
      <alignment horizontal="center"/>
    </xf>
    <xf numFmtId="179" fontId="45" fillId="0" borderId="0">
      <alignment horizontal="right"/>
    </xf>
    <xf numFmtId="0" fontId="1" fillId="0" borderId="0"/>
    <xf numFmtId="212" fontId="25" fillId="0" borderId="8" applyFont="0" applyFill="0" applyBorder="0" applyAlignment="0" applyProtection="0"/>
    <xf numFmtId="213" fontId="52" fillId="0" borderId="0" applyFill="0" applyBorder="0" applyAlignment="0" applyProtection="0"/>
    <xf numFmtId="214" fontId="40" fillId="0" borderId="0" applyFont="0" applyFill="0" applyBorder="0" applyAlignment="0" applyProtection="0">
      <alignment horizontal="right"/>
    </xf>
    <xf numFmtId="167" fontId="30" fillId="0" borderId="0" applyFont="0" applyFill="0" applyBorder="0" applyAlignment="0" applyProtection="0"/>
    <xf numFmtId="0" fontId="1" fillId="0" borderId="0" applyNumberFormat="0" applyAlignment="0">
      <alignment horizontal="left"/>
    </xf>
    <xf numFmtId="215" fontId="25" fillId="0" borderId="8" applyFont="0" applyFill="0" applyBorder="0" applyAlignment="0" applyProtection="0"/>
    <xf numFmtId="216" fontId="25" fillId="0" borderId="0" applyFont="0" applyFill="0" applyBorder="0" applyAlignment="0" applyProtection="0"/>
    <xf numFmtId="217" fontId="25" fillId="0" borderId="0" applyFont="0" applyFill="0" applyBorder="0" applyAlignment="0" applyProtection="0"/>
    <xf numFmtId="218" fontId="25" fillId="0" borderId="0"/>
    <xf numFmtId="217" fontId="25" fillId="0" borderId="0" applyFont="0" applyFill="0" applyBorder="0" applyAlignment="0" applyProtection="0"/>
    <xf numFmtId="219" fontId="25" fillId="0" borderId="0" applyFont="0" applyFill="0" applyBorder="0" applyAlignment="0" applyProtection="0"/>
    <xf numFmtId="220" fontId="53" fillId="0" borderId="8" applyFont="0" applyFill="0" applyBorder="0" applyAlignment="0" applyProtection="0"/>
    <xf numFmtId="179" fontId="40" fillId="0" borderId="0" applyFill="0" applyAlignment="0" applyProtection="0"/>
    <xf numFmtId="221" fontId="25" fillId="0" borderId="0" applyFont="0" applyFill="0" applyBorder="0" applyAlignment="0" applyProtection="0"/>
    <xf numFmtId="222" fontId="25" fillId="0" borderId="0"/>
    <xf numFmtId="223" fontId="25" fillId="0" borderId="0"/>
    <xf numFmtId="224" fontId="1" fillId="0" borderId="0" applyFont="0" applyFill="0" applyBorder="0" applyAlignment="0" applyProtection="0"/>
    <xf numFmtId="225" fontId="3" fillId="10" borderId="9" applyNumberFormat="0" applyFont="0" applyBorder="0" applyAlignment="0" applyProtection="0">
      <alignment horizontal="right"/>
    </xf>
    <xf numFmtId="0" fontId="54" fillId="0" borderId="0"/>
    <xf numFmtId="1" fontId="3" fillId="0" borderId="0" applyNumberFormat="0" applyBorder="0" applyAlignment="0" applyProtection="0"/>
    <xf numFmtId="226" fontId="55" fillId="0" borderId="10">
      <alignment horizontal="right"/>
    </xf>
    <xf numFmtId="227" fontId="56" fillId="0" borderId="0">
      <alignment vertical="center"/>
    </xf>
    <xf numFmtId="38" fontId="3" fillId="9" borderId="0" applyNumberFormat="0" applyBorder="0" applyAlignment="0" applyProtection="0"/>
    <xf numFmtId="228" fontId="45" fillId="0" borderId="0" applyFill="0" applyBorder="0" applyAlignment="0" applyProtection="0"/>
    <xf numFmtId="0" fontId="57" fillId="0" borderId="0" applyNumberFormat="0">
      <alignment horizontal="right"/>
    </xf>
    <xf numFmtId="0" fontId="58" fillId="0" borderId="0" applyNumberFormat="0">
      <alignment horizontal="right"/>
    </xf>
    <xf numFmtId="0" fontId="58" fillId="0" borderId="0" applyNumberFormat="0">
      <alignment horizontal="left"/>
    </xf>
    <xf numFmtId="0" fontId="57" fillId="0" borderId="0" applyNumberFormat="0">
      <alignment horizontal="left"/>
    </xf>
    <xf numFmtId="0" fontId="59" fillId="0" borderId="0" applyNumberFormat="0">
      <alignment horizontal="left" vertical="top"/>
    </xf>
    <xf numFmtId="49" fontId="60" fillId="0" borderId="0">
      <alignment horizontal="right"/>
    </xf>
    <xf numFmtId="49" fontId="61" fillId="0" borderId="0">
      <alignment horizontal="right"/>
    </xf>
    <xf numFmtId="227" fontId="62" fillId="0" borderId="0">
      <alignment vertical="center"/>
    </xf>
    <xf numFmtId="229" fontId="51" fillId="11" borderId="11" applyNumberFormat="0" applyFont="0" applyAlignment="0"/>
    <xf numFmtId="0" fontId="63" fillId="0" borderId="1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63" fillId="0" borderId="0"/>
    <xf numFmtId="0" fontId="64" fillId="0" borderId="4">
      <alignment horizontal="center"/>
    </xf>
    <xf numFmtId="0" fontId="64" fillId="0" borderId="0">
      <alignment horizontal="center"/>
    </xf>
    <xf numFmtId="0" fontId="65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199" fontId="30" fillId="0" borderId="0" applyFont="0" applyFill="0" applyBorder="0" applyAlignment="0" applyProtection="0"/>
    <xf numFmtId="10" fontId="3" fillId="11" borderId="11" applyNumberFormat="0" applyBorder="0" applyAlignment="0" applyProtection="0"/>
    <xf numFmtId="0" fontId="44" fillId="12" borderId="0" applyNumberFormat="0" applyFont="0" applyBorder="0" applyAlignment="0" applyProtection="0"/>
    <xf numFmtId="9" fontId="25" fillId="13" borderId="11" applyProtection="0">
      <alignment horizontal="right"/>
      <protection locked="0"/>
    </xf>
    <xf numFmtId="0" fontId="1" fillId="0" borderId="0" applyFill="0" applyBorder="0">
      <alignment horizontal="right"/>
      <protection locked="0"/>
    </xf>
    <xf numFmtId="230" fontId="1" fillId="0" borderId="0" applyFill="0" applyBorder="0">
      <alignment horizontal="right"/>
      <protection locked="0"/>
    </xf>
    <xf numFmtId="0" fontId="9" fillId="14" borderId="13">
      <alignment horizontal="left" vertical="center" wrapText="1"/>
    </xf>
    <xf numFmtId="0" fontId="68" fillId="0" borderId="0"/>
    <xf numFmtId="228" fontId="45" fillId="0" borderId="0" applyFill="0" applyBorder="0" applyAlignment="0" applyProtection="0"/>
    <xf numFmtId="17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231" fontId="1" fillId="0" borderId="0" applyFont="0" applyFill="0" applyBorder="0" applyAlignment="0" applyProtection="0"/>
    <xf numFmtId="232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69" fillId="15" borderId="0"/>
    <xf numFmtId="44" fontId="2" fillId="0" borderId="0"/>
    <xf numFmtId="0" fontId="25" fillId="0" borderId="0"/>
    <xf numFmtId="37" fontId="1" fillId="0" borderId="0"/>
    <xf numFmtId="233" fontId="1" fillId="0" borderId="0"/>
    <xf numFmtId="2" fontId="44" fillId="0" borderId="0" applyBorder="0" applyProtection="0"/>
    <xf numFmtId="0" fontId="1" fillId="0" borderId="0"/>
    <xf numFmtId="0" fontId="1" fillId="0" borderId="0"/>
    <xf numFmtId="234" fontId="17" fillId="0" borderId="0"/>
    <xf numFmtId="234" fontId="17" fillId="0" borderId="0"/>
    <xf numFmtId="14" fontId="2" fillId="0" borderId="0"/>
    <xf numFmtId="0" fontId="1" fillId="0" borderId="0"/>
    <xf numFmtId="0" fontId="1" fillId="0" borderId="0"/>
    <xf numFmtId="230" fontId="70" fillId="0" borderId="0"/>
    <xf numFmtId="0" fontId="71" fillId="0" borderId="14"/>
    <xf numFmtId="37" fontId="25" fillId="0" borderId="0" applyFont="0" applyFill="0" applyBorder="0" applyProtection="0">
      <alignment vertical="top"/>
    </xf>
    <xf numFmtId="179" fontId="25" fillId="0" borderId="0" applyFont="0" applyFill="0" applyBorder="0" applyAlignment="0" applyProtection="0">
      <alignment vertical="top"/>
      <protection locked="0"/>
    </xf>
    <xf numFmtId="39" fontId="25" fillId="0" borderId="0" applyFont="0" applyFill="0" applyBorder="0" applyAlignment="0" applyProtection="0">
      <alignment vertical="top"/>
    </xf>
    <xf numFmtId="37" fontId="25" fillId="0" borderId="0" applyFont="0" applyFill="0" applyBorder="0" applyProtection="0">
      <alignment vertical="top"/>
    </xf>
    <xf numFmtId="235" fontId="72" fillId="0" borderId="0"/>
    <xf numFmtId="172" fontId="73" fillId="0" borderId="0" applyFont="0" applyFill="0" applyBorder="0" applyAlignment="0" applyProtection="0"/>
    <xf numFmtId="170" fontId="73" fillId="0" borderId="0" applyFont="0" applyFill="0" applyBorder="0" applyAlignment="0" applyProtection="0"/>
    <xf numFmtId="40" fontId="74" fillId="2" borderId="0">
      <alignment horizontal="right"/>
    </xf>
    <xf numFmtId="0" fontId="75" fillId="2" borderId="0">
      <alignment horizontal="right"/>
    </xf>
    <xf numFmtId="0" fontId="25" fillId="0" borderId="0" applyProtection="0"/>
    <xf numFmtId="0" fontId="76" fillId="2" borderId="15"/>
    <xf numFmtId="0" fontId="76" fillId="0" borderId="0" applyBorder="0">
      <alignment horizontal="centerContinuous"/>
    </xf>
    <xf numFmtId="0" fontId="77" fillId="0" borderId="0" applyBorder="0">
      <alignment horizontal="centerContinuous"/>
    </xf>
    <xf numFmtId="0" fontId="78" fillId="0" borderId="0" applyNumberFormat="0" applyFill="0" applyBorder="0">
      <alignment horizontal="left"/>
    </xf>
    <xf numFmtId="0" fontId="79" fillId="0" borderId="0" applyFill="0" applyBorder="0" applyProtection="0">
      <alignment horizontal="left"/>
    </xf>
    <xf numFmtId="0" fontId="80" fillId="0" borderId="0" applyFill="0" applyBorder="0" applyProtection="0">
      <alignment horizontal="left"/>
    </xf>
    <xf numFmtId="14" fontId="30" fillId="0" borderId="0">
      <alignment horizontal="center" wrapText="1"/>
      <protection locked="0"/>
    </xf>
    <xf numFmtId="23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37" fontId="30" fillId="0" borderId="0" applyFont="0" applyFill="0" applyBorder="0" applyProtection="0">
      <alignment horizontal="right"/>
    </xf>
    <xf numFmtId="238" fontId="1" fillId="0" borderId="0" applyFill="0" applyBorder="0">
      <alignment horizontal="right"/>
      <protection locked="0"/>
    </xf>
    <xf numFmtId="239" fontId="45" fillId="0" borderId="0" applyFont="0" applyFill="0" applyBorder="0" applyAlignment="0" applyProtection="0"/>
    <xf numFmtId="0" fontId="81" fillId="0" borderId="0" applyFont="0"/>
    <xf numFmtId="199" fontId="30" fillId="0" borderId="0" applyFont="0" applyFill="0" applyBorder="0" applyAlignment="0" applyProtection="0">
      <protection locked="0"/>
    </xf>
    <xf numFmtId="0" fontId="54" fillId="0" borderId="0"/>
    <xf numFmtId="9" fontId="1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82" fillId="0" borderId="0"/>
    <xf numFmtId="166" fontId="83" fillId="0" borderId="0"/>
    <xf numFmtId="0" fontId="44" fillId="0" borderId="0" applyNumberFormat="0" applyFont="0" applyFill="0" applyBorder="0" applyAlignment="0" applyProtection="0">
      <alignment horizontal="left"/>
    </xf>
    <xf numFmtId="15" fontId="44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18" fillId="0" borderId="4">
      <alignment horizontal="center"/>
    </xf>
    <xf numFmtId="3" fontId="44" fillId="0" borderId="0" applyFont="0" applyFill="0" applyBorder="0" applyAlignment="0" applyProtection="0"/>
    <xf numFmtId="0" fontId="44" fillId="16" borderId="0" applyNumberFormat="0" applyFont="0" applyBorder="0" applyAlignment="0" applyProtection="0"/>
    <xf numFmtId="3" fontId="48" fillId="0" borderId="0" applyFont="0" applyFill="0" applyBorder="0" applyAlignment="0" applyProtection="0"/>
    <xf numFmtId="0" fontId="54" fillId="0" borderId="0"/>
    <xf numFmtId="240" fontId="1" fillId="0" borderId="0">
      <alignment horizontal="right"/>
      <protection locked="0"/>
    </xf>
    <xf numFmtId="241" fontId="1" fillId="0" borderId="0" applyFont="0" applyFill="0" applyBorder="0" applyAlignment="0" applyProtection="0"/>
    <xf numFmtId="0" fontId="84" fillId="17" borderId="0" applyNumberFormat="0" applyFont="0" applyBorder="0" applyAlignment="0">
      <alignment horizontal="center"/>
    </xf>
    <xf numFmtId="242" fontId="44" fillId="18" borderId="16" applyNumberFormat="0" applyFont="0" applyBorder="0" applyAlignment="0" applyProtection="0">
      <alignment horizontal="center"/>
    </xf>
    <xf numFmtId="14" fontId="85" fillId="0" borderId="0" applyNumberFormat="0" applyFill="0" applyBorder="0" applyAlignment="0" applyProtection="0">
      <alignment horizontal="left"/>
    </xf>
    <xf numFmtId="37" fontId="72" fillId="1" borderId="0">
      <alignment horizontal="right"/>
    </xf>
    <xf numFmtId="243" fontId="86" fillId="0" borderId="0" applyFill="0" applyBorder="0">
      <alignment horizontal="right"/>
      <protection hidden="1"/>
    </xf>
    <xf numFmtId="0" fontId="87" fillId="8" borderId="11">
      <alignment horizontal="center" vertical="center" wrapText="1"/>
      <protection hidden="1"/>
    </xf>
    <xf numFmtId="170" fontId="1" fillId="0" borderId="0" applyFont="0" applyFill="0" applyBorder="0" applyAlignment="0" applyProtection="0"/>
    <xf numFmtId="40" fontId="44" fillId="0" borderId="0" applyFont="0" applyFill="0" applyBorder="0" applyAlignment="0" applyProtection="0"/>
    <xf numFmtId="0" fontId="25" fillId="19" borderId="0" applyNumberFormat="0" applyFont="0" applyBorder="0" applyAlignment="0" applyProtection="0"/>
    <xf numFmtId="1" fontId="82" fillId="20" borderId="0" applyNumberFormat="0" applyFont="0" applyBorder="0" applyAlignment="0">
      <alignment horizontal="left"/>
    </xf>
    <xf numFmtId="0" fontId="84" fillId="1" borderId="3" applyNumberFormat="0" applyFont="0" applyAlignment="0">
      <alignment horizontal="center"/>
    </xf>
    <xf numFmtId="199" fontId="30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>
      <alignment horizontal="center"/>
    </xf>
    <xf numFmtId="0" fontId="44" fillId="0" borderId="0"/>
    <xf numFmtId="0" fontId="1" fillId="0" borderId="0" applyFont="0" applyFill="0" applyBorder="0" applyAlignment="0" applyProtection="0"/>
    <xf numFmtId="0" fontId="1" fillId="0" borderId="0"/>
    <xf numFmtId="244" fontId="89" fillId="0" borderId="0" applyNumberFormat="0" applyFill="0" applyBorder="0" applyAlignment="0" applyProtection="0">
      <alignment horizontal="right" vertical="center" wrapText="1"/>
    </xf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>
      <protection locked="0"/>
    </xf>
    <xf numFmtId="0" fontId="92" fillId="0" borderId="9" applyNumberFormat="0" applyFill="0" applyProtection="0">
      <alignment horizontal="right"/>
    </xf>
    <xf numFmtId="40" fontId="1" fillId="0" borderId="0" applyBorder="0">
      <alignment horizontal="right"/>
    </xf>
    <xf numFmtId="245" fontId="1" fillId="0" borderId="0"/>
    <xf numFmtId="0" fontId="93" fillId="0" borderId="0" applyFill="0" applyBorder="0" applyProtection="0">
      <alignment horizontal="center" vertical="center"/>
    </xf>
    <xf numFmtId="0" fontId="92" fillId="0" borderId="17" applyNumberFormat="0" applyProtection="0">
      <alignment horizontal="right"/>
    </xf>
    <xf numFmtId="0" fontId="94" fillId="0" borderId="18" applyNumberFormat="0" applyFill="0" applyProtection="0"/>
    <xf numFmtId="0" fontId="93" fillId="0" borderId="0" applyFill="0" applyBorder="0" applyProtection="0"/>
    <xf numFmtId="0" fontId="95" fillId="0" borderId="0">
      <alignment vertical="center"/>
    </xf>
    <xf numFmtId="0" fontId="56" fillId="0" borderId="0">
      <alignment vertical="center"/>
    </xf>
    <xf numFmtId="0" fontId="62" fillId="0" borderId="0">
      <alignment vertical="center"/>
    </xf>
    <xf numFmtId="0" fontId="9" fillId="0" borderId="0" applyFill="0" applyBorder="0" applyProtection="0">
      <alignment horizontal="left"/>
    </xf>
    <xf numFmtId="0" fontId="39" fillId="0" borderId="0" applyFill="0" applyBorder="0" applyProtection="0">
      <alignment horizontal="left" vertical="top"/>
    </xf>
    <xf numFmtId="199" fontId="96" fillId="0" borderId="19"/>
    <xf numFmtId="199" fontId="97" fillId="0" borderId="0" applyNumberFormat="0" applyFill="0" applyBorder="0" applyAlignment="0" applyProtection="0"/>
    <xf numFmtId="0" fontId="44" fillId="0" borderId="0" applyBorder="0"/>
    <xf numFmtId="246" fontId="25" fillId="0" borderId="0" applyFill="0" applyAlignment="0" applyProtection="0"/>
    <xf numFmtId="247" fontId="1" fillId="0" borderId="11">
      <protection locked="0"/>
    </xf>
    <xf numFmtId="242" fontId="1" fillId="0" borderId="11">
      <alignment horizontal="right"/>
      <protection locked="0"/>
    </xf>
    <xf numFmtId="234" fontId="1" fillId="0" borderId="0">
      <alignment horizontal="left"/>
      <protection locked="0"/>
    </xf>
    <xf numFmtId="248" fontId="98" fillId="0" borderId="0">
      <alignment horizontal="right"/>
    </xf>
    <xf numFmtId="38" fontId="1" fillId="0" borderId="0" applyNumberFormat="0" applyBorder="0" applyAlignment="0">
      <protection locked="0"/>
    </xf>
    <xf numFmtId="1" fontId="30" fillId="0" borderId="0" applyFont="0" applyFill="0" applyBorder="0" applyAlignment="0" applyProtection="0"/>
    <xf numFmtId="249" fontId="2" fillId="0" borderId="0"/>
    <xf numFmtId="1" fontId="99" fillId="0" borderId="3" applyFill="0" applyProtection="0">
      <alignment horizontal="right"/>
    </xf>
    <xf numFmtId="250" fontId="3" fillId="0" borderId="0" applyFill="0" applyBorder="0" applyAlignment="0" applyProtection="0"/>
    <xf numFmtId="0" fontId="100" fillId="0" borderId="0"/>
    <xf numFmtId="0" fontId="101" fillId="0" borderId="0"/>
    <xf numFmtId="9" fontId="104" fillId="0" borderId="0" applyFont="0" applyFill="0" applyBorder="0" applyAlignment="0" applyProtection="0"/>
    <xf numFmtId="172" fontId="10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13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8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32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32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5" fillId="0" borderId="0" applyFont="0" applyFill="0" applyBorder="0" applyAlignment="0" applyProtection="0"/>
    <xf numFmtId="39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32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8" fillId="0" borderId="0" applyFont="0" applyFill="0" applyBorder="0" applyAlignment="0" applyProtection="0"/>
    <xf numFmtId="262" fontId="1" fillId="0" borderId="0" applyFont="0" applyFill="0" applyBorder="0" applyAlignment="0" applyProtection="0"/>
    <xf numFmtId="262" fontId="1" fillId="0" borderId="0" applyFont="0" applyFill="0" applyBorder="0" applyAlignment="0" applyProtection="0"/>
    <xf numFmtId="262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7" fontId="1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32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7" fontId="18" fillId="0" borderId="0" applyFont="0" applyFill="0" applyBorder="0" applyProtection="0">
      <alignment horizontal="right"/>
    </xf>
    <xf numFmtId="263" fontId="1" fillId="0" borderId="0" applyFont="0" applyFill="0" applyBorder="0" applyAlignment="0" applyProtection="0"/>
    <xf numFmtId="263" fontId="1" fillId="0" borderId="0" applyFont="0" applyFill="0" applyBorder="0" applyAlignment="0" applyProtection="0"/>
    <xf numFmtId="26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7" fontId="5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7" fontId="1" fillId="0" borderId="0" applyFont="0" applyFill="0" applyBorder="0" applyProtection="0">
      <alignment horizontal="right"/>
    </xf>
    <xf numFmtId="187" fontId="5" fillId="0" borderId="0" applyFont="0" applyFill="0" applyBorder="0" applyProtection="0">
      <alignment horizontal="right"/>
    </xf>
    <xf numFmtId="187" fontId="5" fillId="0" borderId="0" applyFont="0" applyFill="0" applyBorder="0" applyProtection="0">
      <alignment horizontal="right"/>
    </xf>
    <xf numFmtId="187" fontId="5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7" fontId="5" fillId="0" borderId="0" applyFont="0" applyFill="0" applyBorder="0" applyProtection="0">
      <alignment horizontal="right"/>
    </xf>
    <xf numFmtId="187" fontId="5" fillId="0" borderId="0" applyFont="0" applyFill="0" applyBorder="0" applyProtection="0">
      <alignment horizontal="right"/>
    </xf>
    <xf numFmtId="188" fontId="1" fillId="0" borderId="0" applyFont="0" applyFill="0" applyBorder="0" applyAlignment="0" applyProtection="0"/>
    <xf numFmtId="187" fontId="1" fillId="0" borderId="0" applyFont="0" applyFill="0" applyBorder="0" applyProtection="0">
      <alignment horizontal="right"/>
    </xf>
    <xf numFmtId="187" fontId="1" fillId="0" borderId="0" applyFont="0" applyFill="0" applyBorder="0" applyProtection="0">
      <alignment horizontal="right"/>
    </xf>
    <xf numFmtId="187" fontId="1" fillId="0" borderId="0" applyFont="0" applyFill="0" applyBorder="0" applyProtection="0">
      <alignment horizontal="right"/>
    </xf>
    <xf numFmtId="176" fontId="1" fillId="0" borderId="0" applyFont="0" applyFill="0" applyBorder="0" applyProtection="0">
      <alignment horizontal="right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Protection="0">
      <alignment horizontal="right"/>
    </xf>
    <xf numFmtId="177" fontId="1" fillId="0" borderId="0" applyFont="0" applyFill="0" applyBorder="0" applyProtection="0">
      <alignment horizontal="right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Alignment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1" fillId="0" borderId="0" applyNumberFormat="0" applyFill="0" applyBorder="0" applyProtection="0">
      <alignment vertical="top"/>
    </xf>
    <xf numFmtId="0" fontId="22" fillId="0" borderId="1" applyNumberFormat="0" applyFill="0" applyAlignment="0" applyProtection="0"/>
    <xf numFmtId="0" fontId="22" fillId="0" borderId="32" applyNumberFormat="0" applyFill="0" applyAlignment="0" applyProtection="0"/>
    <xf numFmtId="0" fontId="22" fillId="0" borderId="1" applyNumberFormat="0" applyFill="0" applyAlignment="0" applyProtection="0"/>
    <xf numFmtId="0" fontId="22" fillId="0" borderId="1" applyNumberFormat="0" applyFill="0" applyAlignment="0" applyProtection="0"/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0" fontId="24" fillId="0" borderId="0" applyNumberFormat="0" applyFill="0" applyBorder="0" applyProtection="0">
      <alignment horizontal="centerContinuous"/>
    </xf>
    <xf numFmtId="2" fontId="133" fillId="0" borderId="0" applyNumberFormat="0" applyBorder="0" applyAlignment="0"/>
    <xf numFmtId="226" fontId="134" fillId="0" borderId="0"/>
    <xf numFmtId="0" fontId="135" fillId="25" borderId="33">
      <alignment horizontal="center"/>
    </xf>
    <xf numFmtId="249" fontId="3" fillId="26" borderId="0" applyNumberFormat="0" applyFont="0" applyBorder="0" applyAlignment="0">
      <protection locked="0"/>
    </xf>
    <xf numFmtId="0" fontId="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249" fontId="136" fillId="0" borderId="0" applyNumberFormat="0" applyFill="0" applyBorder="0" applyProtection="0">
      <alignment horizontal="right"/>
    </xf>
    <xf numFmtId="38" fontId="137" fillId="0" borderId="0" applyNumberFormat="0" applyFill="0" applyBorder="0">
      <alignment vertical="center"/>
    </xf>
    <xf numFmtId="264" fontId="1" fillId="0" borderId="0">
      <protection locked="0"/>
    </xf>
    <xf numFmtId="0" fontId="2" fillId="0" borderId="0"/>
    <xf numFmtId="0" fontId="133" fillId="0" borderId="0" applyNumberFormat="0" applyAlignment="0"/>
    <xf numFmtId="198" fontId="138" fillId="0" borderId="0" applyNumberFormat="0" applyFont="0" applyAlignment="0">
      <alignment vertical="center"/>
    </xf>
    <xf numFmtId="264" fontId="1" fillId="0" borderId="0">
      <protection locked="0"/>
    </xf>
    <xf numFmtId="0" fontId="60" fillId="0" borderId="0" applyNumberFormat="0" applyFill="0" applyBorder="0" applyAlignment="0" applyProtection="0"/>
    <xf numFmtId="198" fontId="139" fillId="0" borderId="0" applyNumberFormat="0" applyFill="0" applyBorder="0">
      <alignment horizontal="left" vertical="center"/>
    </xf>
    <xf numFmtId="265" fontId="1" fillId="0" borderId="0" applyNumberFormat="0" applyFill="0" applyBorder="0" applyAlignment="0" applyProtection="0"/>
    <xf numFmtId="0" fontId="140" fillId="0" borderId="0"/>
    <xf numFmtId="38" fontId="141" fillId="0" borderId="0" applyNumberFormat="0" applyFill="0" applyBorder="0">
      <alignment horizontal="left" vertical="center"/>
    </xf>
    <xf numFmtId="198" fontId="142" fillId="0" borderId="0" applyFill="0" applyBorder="0">
      <alignment vertical="center"/>
    </xf>
    <xf numFmtId="0" fontId="131" fillId="0" borderId="0"/>
    <xf numFmtId="0" fontId="3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65" fontId="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3" fillId="0" borderId="0">
      <alignment horizontal="left" vertical="top"/>
      <protection locked="0"/>
    </xf>
    <xf numFmtId="266" fontId="1" fillId="0" borderId="0" applyFill="0">
      <alignment horizontal="center" vertical="center"/>
    </xf>
    <xf numFmtId="267" fontId="1" fillId="0" borderId="0"/>
    <xf numFmtId="0" fontId="85" fillId="0" borderId="0" applyNumberFormat="0" applyAlignment="0"/>
    <xf numFmtId="226" fontId="1" fillId="0" borderId="0" applyFill="0" applyBorder="0" applyAlignment="0" applyProtection="0"/>
    <xf numFmtId="179" fontId="25" fillId="0" borderId="0">
      <alignment vertical="top"/>
    </xf>
    <xf numFmtId="2" fontId="144" fillId="0" borderId="0"/>
    <xf numFmtId="1" fontId="1" fillId="0" borderId="0"/>
    <xf numFmtId="0" fontId="1" fillId="0" borderId="0">
      <alignment vertical="top"/>
    </xf>
    <xf numFmtId="167" fontId="141" fillId="0" borderId="34" applyFill="0">
      <alignment vertical="center"/>
    </xf>
    <xf numFmtId="268" fontId="3" fillId="0" borderId="0"/>
    <xf numFmtId="39" fontId="9" fillId="0" borderId="3" applyNumberFormat="0" applyBorder="0">
      <alignment horizontal="right"/>
    </xf>
    <xf numFmtId="14" fontId="1" fillId="0" borderId="0" applyFill="0" applyBorder="0">
      <alignment vertical="center"/>
    </xf>
    <xf numFmtId="0" fontId="63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38" fontId="146" fillId="0" borderId="0" applyNumberFormat="0" applyFill="0" applyBorder="0">
      <alignment horizontal="left" vertical="center"/>
    </xf>
    <xf numFmtId="0" fontId="14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42" fontId="133" fillId="0" borderId="0" applyNumberFormat="0" applyBorder="0" applyAlignment="0"/>
    <xf numFmtId="269" fontId="1" fillId="0" borderId="0" applyFill="0" applyBorder="0">
      <alignment vertical="center"/>
    </xf>
    <xf numFmtId="172" fontId="131" fillId="0" borderId="0" applyFont="0" applyFill="0" applyBorder="0" applyAlignment="0" applyProtection="0"/>
    <xf numFmtId="9" fontId="131" fillId="0" borderId="0" applyFont="0" applyFill="0" applyBorder="0" applyAlignment="0" applyProtection="0"/>
  </cellStyleXfs>
  <cellXfs count="618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2" borderId="0" xfId="1" applyFill="1"/>
    <xf numFmtId="0" fontId="1" fillId="0" borderId="0" xfId="1" quotePrefix="1" applyFont="1" applyAlignment="1">
      <alignment horizontal="left"/>
    </xf>
    <xf numFmtId="0" fontId="3" fillId="0" borderId="0" xfId="2" applyFont="1" applyAlignment="1">
      <alignment horizontal="left"/>
    </xf>
    <xf numFmtId="0" fontId="3" fillId="2" borderId="0" xfId="1" applyFont="1" applyFill="1"/>
    <xf numFmtId="173" fontId="3" fillId="0" borderId="0" xfId="2" applyNumberFormat="1" applyFont="1" applyAlignment="1">
      <alignment horizontal="left"/>
    </xf>
    <xf numFmtId="173" fontId="3" fillId="2" borderId="0" xfId="2" applyNumberFormat="1" applyFont="1" applyFill="1" applyAlignment="1">
      <alignment horizontal="left"/>
    </xf>
    <xf numFmtId="0" fontId="1" fillId="0" borderId="0" xfId="1" applyFont="1"/>
    <xf numFmtId="0" fontId="3" fillId="0" borderId="0" xfId="1" quotePrefix="1" applyFont="1" applyAlignment="1">
      <alignment horizontal="left"/>
    </xf>
    <xf numFmtId="0" fontId="4" fillId="2" borderId="0" xfId="1" applyFont="1" applyFill="1"/>
    <xf numFmtId="0" fontId="1" fillId="0" borderId="0" xfId="1" applyFont="1" applyAlignment="1">
      <alignment horizontal="left"/>
    </xf>
    <xf numFmtId="0" fontId="1" fillId="2" borderId="0" xfId="1" applyFont="1" applyFill="1"/>
    <xf numFmtId="0" fontId="1" fillId="0" borderId="0" xfId="1" quotePrefix="1" applyFont="1"/>
    <xf numFmtId="0" fontId="1" fillId="0" borderId="0" xfId="1" applyBorder="1"/>
    <xf numFmtId="0" fontId="6" fillId="2" borderId="0" xfId="3" applyFont="1" applyFill="1" applyBorder="1"/>
    <xf numFmtId="0" fontId="7" fillId="2" borderId="0" xfId="3" applyFont="1" applyFill="1" applyBorder="1"/>
    <xf numFmtId="0" fontId="9" fillId="2" borderId="0" xfId="3" applyFont="1" applyFill="1"/>
    <xf numFmtId="0" fontId="9" fillId="2" borderId="0" xfId="3" applyFont="1" applyFill="1" applyBorder="1"/>
    <xf numFmtId="0" fontId="10" fillId="2" borderId="0" xfId="3" applyFont="1" applyFill="1" applyBorder="1"/>
    <xf numFmtId="0" fontId="11" fillId="2" borderId="0" xfId="3" applyFont="1" applyFill="1"/>
    <xf numFmtId="0" fontId="12" fillId="2" borderId="0" xfId="3" applyFont="1" applyFill="1" applyBorder="1"/>
    <xf numFmtId="0" fontId="9" fillId="3" borderId="0" xfId="3" applyFont="1" applyFill="1"/>
    <xf numFmtId="0" fontId="9" fillId="4" borderId="0" xfId="3" applyFont="1" applyFill="1"/>
    <xf numFmtId="0" fontId="9" fillId="4" borderId="0" xfId="3" applyFont="1" applyFill="1" applyAlignment="1"/>
    <xf numFmtId="0" fontId="13" fillId="4" borderId="0" xfId="3" applyFont="1" applyFill="1" applyAlignment="1"/>
    <xf numFmtId="0" fontId="14" fillId="4" borderId="0" xfId="3" applyFont="1" applyFill="1" applyAlignment="1"/>
    <xf numFmtId="0" fontId="15" fillId="4" borderId="0" xfId="3" applyFont="1" applyFill="1" applyAlignment="1"/>
    <xf numFmtId="0" fontId="16" fillId="4" borderId="0" xfId="3" applyFont="1" applyFill="1" applyAlignment="1"/>
    <xf numFmtId="0" fontId="8" fillId="4" borderId="0" xfId="3" applyFont="1" applyFill="1"/>
    <xf numFmtId="0" fontId="101" fillId="0" borderId="0" xfId="343"/>
    <xf numFmtId="0" fontId="102" fillId="0" borderId="0" xfId="343" applyFont="1"/>
    <xf numFmtId="0" fontId="103" fillId="0" borderId="0" xfId="343" applyFont="1"/>
    <xf numFmtId="0" fontId="105" fillId="0" borderId="0" xfId="343" applyFont="1"/>
    <xf numFmtId="0" fontId="106" fillId="0" borderId="0" xfId="343" applyFont="1"/>
    <xf numFmtId="14" fontId="105" fillId="21" borderId="0" xfId="253" applyFont="1" applyFill="1"/>
    <xf numFmtId="0" fontId="3" fillId="21" borderId="0" xfId="343" applyFont="1" applyFill="1" applyBorder="1"/>
    <xf numFmtId="38" fontId="3" fillId="21" borderId="0" xfId="343" applyNumberFormat="1" applyFont="1" applyFill="1" applyBorder="1"/>
    <xf numFmtId="14" fontId="106" fillId="21" borderId="0" xfId="253" applyFont="1" applyFill="1"/>
    <xf numFmtId="14" fontId="3" fillId="21" borderId="0" xfId="253" applyFont="1" applyFill="1"/>
    <xf numFmtId="234" fontId="3" fillId="21" borderId="0" xfId="251" applyFont="1" applyFill="1" applyBorder="1"/>
    <xf numFmtId="0" fontId="105" fillId="21" borderId="0" xfId="343" applyFont="1" applyFill="1" applyBorder="1"/>
    <xf numFmtId="0" fontId="106" fillId="21" borderId="0" xfId="343" applyFont="1" applyFill="1" applyBorder="1"/>
    <xf numFmtId="0" fontId="107" fillId="0" borderId="0" xfId="343" applyFont="1"/>
    <xf numFmtId="251" fontId="108" fillId="21" borderId="0" xfId="345" applyNumberFormat="1" applyFont="1" applyFill="1" applyBorder="1"/>
    <xf numFmtId="251" fontId="51" fillId="21" borderId="0" xfId="345" applyNumberFormat="1" applyFont="1" applyFill="1" applyBorder="1"/>
    <xf numFmtId="234" fontId="51" fillId="21" borderId="0" xfId="251" applyFont="1" applyFill="1" applyBorder="1"/>
    <xf numFmtId="251" fontId="109" fillId="21" borderId="0" xfId="345" applyNumberFormat="1" applyFont="1" applyFill="1" applyBorder="1"/>
    <xf numFmtId="0" fontId="110" fillId="0" borderId="0" xfId="343" applyFont="1"/>
    <xf numFmtId="198" fontId="111" fillId="21" borderId="0" xfId="344" applyNumberFormat="1" applyFont="1" applyFill="1" applyBorder="1"/>
    <xf numFmtId="198" fontId="112" fillId="21" borderId="0" xfId="344" applyNumberFormat="1" applyFont="1" applyFill="1" applyBorder="1"/>
    <xf numFmtId="252" fontId="112" fillId="21" borderId="0" xfId="251" applyNumberFormat="1" applyFont="1" applyFill="1" applyBorder="1"/>
    <xf numFmtId="198" fontId="113" fillId="21" borderId="0" xfId="344" applyNumberFormat="1" applyFont="1" applyFill="1" applyBorder="1"/>
    <xf numFmtId="252" fontId="112" fillId="21" borderId="0" xfId="251" applyNumberFormat="1" applyFont="1" applyFill="1" applyBorder="1" applyAlignment="1">
      <alignment horizontal="left" indent="1"/>
    </xf>
    <xf numFmtId="251" fontId="105" fillId="21" borderId="0" xfId="345" applyNumberFormat="1" applyFont="1" applyFill="1" applyBorder="1"/>
    <xf numFmtId="251" fontId="3" fillId="21" borderId="0" xfId="345" applyNumberFormat="1" applyFont="1" applyFill="1" applyBorder="1"/>
    <xf numFmtId="230" fontId="3" fillId="21" borderId="0" xfId="256" applyFont="1" applyFill="1" applyBorder="1"/>
    <xf numFmtId="251" fontId="106" fillId="21" borderId="0" xfId="345" applyNumberFormat="1" applyFont="1" applyFill="1" applyBorder="1"/>
    <xf numFmtId="251" fontId="105" fillId="21" borderId="0" xfId="253" applyNumberFormat="1" applyFont="1" applyFill="1"/>
    <xf numFmtId="251" fontId="3" fillId="21" borderId="0" xfId="343" applyNumberFormat="1" applyFont="1" applyFill="1" applyBorder="1"/>
    <xf numFmtId="234" fontId="114" fillId="21" borderId="0" xfId="251" applyFont="1" applyFill="1" applyBorder="1"/>
    <xf numFmtId="251" fontId="105" fillId="21" borderId="0" xfId="343" applyNumberFormat="1" applyFont="1" applyFill="1" applyBorder="1"/>
    <xf numFmtId="251" fontId="106" fillId="21" borderId="0" xfId="343" applyNumberFormat="1" applyFont="1" applyFill="1" applyBorder="1"/>
    <xf numFmtId="234" fontId="3" fillId="21" borderId="0" xfId="251" applyFont="1" applyFill="1" applyBorder="1" applyAlignment="1">
      <alignment horizontal="left" indent="1"/>
    </xf>
    <xf numFmtId="37" fontId="105" fillId="21" borderId="0" xfId="343" applyNumberFormat="1" applyFont="1" applyFill="1" applyBorder="1"/>
    <xf numFmtId="37" fontId="106" fillId="21" borderId="0" xfId="343" applyNumberFormat="1" applyFont="1" applyFill="1" applyBorder="1"/>
    <xf numFmtId="37" fontId="114" fillId="21" borderId="0" xfId="256" applyNumberFormat="1" applyFont="1" applyFill="1" applyBorder="1" applyAlignment="1">
      <alignment horizontal="left"/>
    </xf>
    <xf numFmtId="234" fontId="112" fillId="21" borderId="0" xfId="251" applyFont="1" applyFill="1" applyBorder="1"/>
    <xf numFmtId="234" fontId="112" fillId="21" borderId="0" xfId="251" applyFont="1" applyFill="1" applyBorder="1" applyAlignment="1">
      <alignment horizontal="left" indent="1"/>
    </xf>
    <xf numFmtId="251" fontId="105" fillId="21" borderId="0" xfId="251" applyNumberFormat="1" applyFont="1" applyFill="1" applyBorder="1"/>
    <xf numFmtId="251" fontId="106" fillId="21" borderId="0" xfId="251" applyNumberFormat="1" applyFont="1" applyFill="1" applyBorder="1"/>
    <xf numFmtId="17" fontId="51" fillId="21" borderId="0" xfId="256" quotePrefix="1" applyNumberFormat="1" applyFont="1" applyFill="1" applyBorder="1" applyAlignment="1">
      <alignment horizontal="center"/>
    </xf>
    <xf numFmtId="37" fontId="115" fillId="21" borderId="0" xfId="256" applyNumberFormat="1" applyFont="1" applyFill="1" applyBorder="1" applyAlignment="1">
      <alignment horizontal="left"/>
    </xf>
    <xf numFmtId="37" fontId="51" fillId="21" borderId="0" xfId="256" applyNumberFormat="1" applyFont="1" applyFill="1" applyBorder="1" applyAlignment="1">
      <alignment horizontal="left"/>
    </xf>
    <xf numFmtId="17" fontId="108" fillId="4" borderId="3" xfId="256" quotePrefix="1" applyNumberFormat="1" applyFont="1" applyFill="1" applyBorder="1" applyAlignment="1">
      <alignment horizontal="right"/>
    </xf>
    <xf numFmtId="17" fontId="109" fillId="4" borderId="3" xfId="256" quotePrefix="1" applyNumberFormat="1" applyFont="1" applyFill="1" applyBorder="1" applyAlignment="1">
      <alignment horizontal="right"/>
    </xf>
    <xf numFmtId="17" fontId="51" fillId="4" borderId="3" xfId="256" quotePrefix="1" applyNumberFormat="1" applyFont="1" applyFill="1" applyBorder="1" applyAlignment="1">
      <alignment horizontal="right"/>
    </xf>
    <xf numFmtId="37" fontId="51" fillId="4" borderId="3" xfId="256" applyNumberFormat="1" applyFont="1" applyFill="1" applyBorder="1" applyAlignment="1">
      <alignment horizontal="left"/>
    </xf>
    <xf numFmtId="0" fontId="108" fillId="4" borderId="3" xfId="256" quotePrefix="1" applyNumberFormat="1" applyFont="1" applyFill="1" applyBorder="1" applyAlignment="1">
      <alignment horizontal="right"/>
    </xf>
    <xf numFmtId="0" fontId="109" fillId="4" borderId="3" xfId="256" quotePrefix="1" applyNumberFormat="1" applyFont="1" applyFill="1" applyBorder="1" applyAlignment="1">
      <alignment horizontal="right"/>
    </xf>
    <xf numFmtId="0" fontId="51" fillId="4" borderId="3" xfId="256" quotePrefix="1" applyNumberFormat="1" applyFont="1" applyFill="1" applyBorder="1" applyAlignment="1">
      <alignment horizontal="right"/>
    </xf>
    <xf numFmtId="251" fontId="103" fillId="0" borderId="0" xfId="345" applyNumberFormat="1" applyFont="1"/>
    <xf numFmtId="172" fontId="105" fillId="0" borderId="0" xfId="345" applyFont="1"/>
    <xf numFmtId="172" fontId="106" fillId="0" borderId="0" xfId="345" applyFont="1"/>
    <xf numFmtId="172" fontId="103" fillId="0" borderId="0" xfId="345" applyFont="1"/>
    <xf numFmtId="172" fontId="105" fillId="0" borderId="0" xfId="345" applyFont="1" applyFill="1" applyAlignment="1" applyProtection="1">
      <alignment horizontal="left" indent="1"/>
    </xf>
    <xf numFmtId="172" fontId="106" fillId="0" borderId="0" xfId="345" applyFont="1" applyFill="1" applyAlignment="1" applyProtection="1">
      <alignment horizontal="left" indent="1"/>
    </xf>
    <xf numFmtId="172" fontId="103" fillId="0" borderId="0" xfId="345" applyFont="1" applyFill="1" applyAlignment="1" applyProtection="1">
      <alignment horizontal="left" indent="1"/>
    </xf>
    <xf numFmtId="0" fontId="103" fillId="0" borderId="0" xfId="343" applyFont="1" applyAlignment="1">
      <alignment horizontal="left" indent="1"/>
    </xf>
    <xf numFmtId="251" fontId="105" fillId="0" borderId="0" xfId="345" applyNumberFormat="1" applyFont="1"/>
    <xf numFmtId="251" fontId="105" fillId="0" borderId="0" xfId="343" applyNumberFormat="1" applyFont="1" applyFill="1" applyAlignment="1" applyProtection="1"/>
    <xf numFmtId="251" fontId="106" fillId="0" borderId="0" xfId="343" applyNumberFormat="1" applyFont="1" applyFill="1" applyAlignment="1" applyProtection="1"/>
    <xf numFmtId="251" fontId="103" fillId="0" borderId="0" xfId="343" applyNumberFormat="1" applyFont="1" applyFill="1" applyAlignment="1" applyProtection="1"/>
    <xf numFmtId="251" fontId="3" fillId="0" borderId="0" xfId="345" applyNumberFormat="1" applyFont="1"/>
    <xf numFmtId="251" fontId="108" fillId="0" borderId="0" xfId="345" applyNumberFormat="1" applyFont="1"/>
    <xf numFmtId="251" fontId="116" fillId="0" borderId="0" xfId="345" applyNumberFormat="1" applyFont="1"/>
    <xf numFmtId="0" fontId="103" fillId="0" borderId="0" xfId="343" applyFont="1" applyFill="1" applyAlignment="1" applyProtection="1">
      <alignment horizontal="right"/>
    </xf>
    <xf numFmtId="0" fontId="116" fillId="0" borderId="0" xfId="343" applyFont="1" applyFill="1" applyAlignment="1" applyProtection="1">
      <alignment horizontal="left"/>
    </xf>
    <xf numFmtId="251" fontId="108" fillId="0" borderId="0" xfId="345" applyNumberFormat="1" applyFont="1" applyFill="1" applyAlignment="1" applyProtection="1">
      <alignment horizontal="right"/>
    </xf>
    <xf numFmtId="251" fontId="109" fillId="0" borderId="0" xfId="345" applyNumberFormat="1" applyFont="1" applyFill="1" applyAlignment="1" applyProtection="1">
      <alignment horizontal="right"/>
    </xf>
    <xf numFmtId="251" fontId="116" fillId="0" borderId="0" xfId="345" applyNumberFormat="1" applyFont="1" applyFill="1" applyAlignment="1" applyProtection="1">
      <alignment horizontal="right"/>
    </xf>
    <xf numFmtId="0" fontId="103" fillId="0" borderId="0" xfId="343" applyFont="1" applyFill="1" applyAlignment="1" applyProtection="1">
      <alignment horizontal="left" indent="1"/>
    </xf>
    <xf numFmtId="251" fontId="105" fillId="0" borderId="0" xfId="343" applyNumberFormat="1" applyFont="1" applyFill="1" applyAlignment="1" applyProtection="1">
      <alignment horizontal="left" indent="1"/>
    </xf>
    <xf numFmtId="251" fontId="106" fillId="0" borderId="0" xfId="343" applyNumberFormat="1" applyFont="1" applyFill="1" applyAlignment="1" applyProtection="1">
      <alignment horizontal="left" indent="1"/>
    </xf>
    <xf numFmtId="251" fontId="103" fillId="0" borderId="0" xfId="343" applyNumberFormat="1" applyFont="1" applyFill="1" applyAlignment="1" applyProtection="1">
      <alignment horizontal="left" indent="1"/>
    </xf>
    <xf numFmtId="0" fontId="116" fillId="0" borderId="0" xfId="343" applyFont="1"/>
    <xf numFmtId="0" fontId="116" fillId="0" borderId="0" xfId="343" applyFont="1" applyFill="1" applyAlignment="1" applyProtection="1"/>
    <xf numFmtId="251" fontId="105" fillId="0" borderId="0" xfId="345" applyNumberFormat="1" applyFont="1" applyFill="1" applyAlignment="1" applyProtection="1">
      <alignment horizontal="right"/>
    </xf>
    <xf numFmtId="251" fontId="103" fillId="0" borderId="0" xfId="345" applyNumberFormat="1" applyFont="1" applyFill="1" applyAlignment="1" applyProtection="1">
      <alignment horizontal="right"/>
    </xf>
    <xf numFmtId="251" fontId="3" fillId="0" borderId="0" xfId="345" applyNumberFormat="1" applyFont="1" applyFill="1" applyAlignment="1" applyProtection="1">
      <alignment horizontal="right"/>
    </xf>
    <xf numFmtId="0" fontId="116" fillId="0" borderId="0" xfId="343" applyFont="1" applyFill="1" applyAlignment="1" applyProtection="1">
      <alignment horizontal="left" indent="1"/>
    </xf>
    <xf numFmtId="0" fontId="116" fillId="0" borderId="0" xfId="343" applyFont="1" applyFill="1" applyAlignment="1" applyProtection="1">
      <alignment horizontal="left" indent="2"/>
    </xf>
    <xf numFmtId="0" fontId="103" fillId="0" borderId="0" xfId="343" applyFont="1" applyFill="1" applyAlignment="1" applyProtection="1">
      <alignment horizontal="left" indent="2"/>
    </xf>
    <xf numFmtId="0" fontId="103" fillId="0" borderId="0" xfId="343" applyFont="1" applyFill="1" applyAlignment="1" applyProtection="1">
      <alignment horizontal="left" indent="3"/>
    </xf>
    <xf numFmtId="0" fontId="108" fillId="0" borderId="0" xfId="343" applyFont="1" applyFill="1" applyAlignment="1" applyProtection="1">
      <alignment horizontal="left" indent="1"/>
    </xf>
    <xf numFmtId="0" fontId="109" fillId="0" borderId="0" xfId="343" applyFont="1" applyFill="1" applyAlignment="1" applyProtection="1">
      <alignment horizontal="left" indent="1"/>
    </xf>
    <xf numFmtId="251" fontId="51" fillId="0" borderId="0" xfId="345" applyNumberFormat="1" applyFont="1" applyFill="1" applyAlignment="1" applyProtection="1">
      <alignment horizontal="right"/>
    </xf>
    <xf numFmtId="0" fontId="103" fillId="0" borderId="0" xfId="343" applyFont="1" applyFill="1" applyAlignment="1" applyProtection="1"/>
    <xf numFmtId="0" fontId="108" fillId="0" borderId="0" xfId="343" applyFont="1" applyFill="1" applyAlignment="1" applyProtection="1"/>
    <xf numFmtId="0" fontId="109" fillId="0" borderId="0" xfId="343" applyFont="1" applyFill="1" applyAlignment="1" applyProtection="1"/>
    <xf numFmtId="0" fontId="105" fillId="0" borderId="0" xfId="343" applyFont="1" applyFill="1" applyAlignment="1" applyProtection="1">
      <alignment horizontal="right"/>
    </xf>
    <xf numFmtId="0" fontId="106" fillId="0" borderId="0" xfId="343" applyFont="1" applyFill="1" applyAlignment="1" applyProtection="1">
      <alignment horizontal="right"/>
    </xf>
    <xf numFmtId="0" fontId="108" fillId="22" borderId="3" xfId="343" applyFont="1" applyFill="1" applyBorder="1" applyAlignment="1" applyProtection="1">
      <alignment horizontal="right"/>
    </xf>
    <xf numFmtId="0" fontId="108" fillId="4" borderId="3" xfId="343" applyFont="1" applyFill="1" applyBorder="1" applyAlignment="1">
      <alignment horizontal="right"/>
    </xf>
    <xf numFmtId="0" fontId="51" fillId="22" borderId="3" xfId="343" applyFont="1" applyFill="1" applyBorder="1" applyAlignment="1" applyProtection="1">
      <alignment horizontal="right"/>
    </xf>
    <xf numFmtId="0" fontId="116" fillId="22" borderId="3" xfId="343" applyFont="1" applyFill="1" applyBorder="1" applyAlignment="1" applyProtection="1">
      <alignment horizontal="right"/>
    </xf>
    <xf numFmtId="0" fontId="116" fillId="4" borderId="3" xfId="343" applyFont="1" applyFill="1" applyBorder="1" applyAlignment="1">
      <alignment horizontal="right"/>
    </xf>
    <xf numFmtId="0" fontId="103" fillId="0" borderId="0" xfId="343" applyFont="1" applyFill="1" applyBorder="1" applyAlignment="1" applyProtection="1">
      <alignment horizontal="right"/>
    </xf>
    <xf numFmtId="0" fontId="109" fillId="22" borderId="3" xfId="343" applyFont="1" applyFill="1" applyBorder="1" applyAlignment="1" applyProtection="1">
      <alignment horizontal="right"/>
    </xf>
    <xf numFmtId="14" fontId="117" fillId="0" borderId="0" xfId="253" applyFont="1"/>
    <xf numFmtId="14" fontId="36" fillId="0" borderId="0" xfId="253" applyFont="1"/>
    <xf numFmtId="38" fontId="36" fillId="0" borderId="0" xfId="253" applyNumberFormat="1" applyFont="1"/>
    <xf numFmtId="3" fontId="36" fillId="0" borderId="0" xfId="253" applyNumberFormat="1" applyFont="1" applyAlignment="1">
      <alignment horizontal="right"/>
    </xf>
    <xf numFmtId="14" fontId="36" fillId="0" borderId="0" xfId="253" applyFont="1" applyAlignment="1">
      <alignment horizontal="left"/>
    </xf>
    <xf numFmtId="0" fontId="1" fillId="0" borderId="0" xfId="343" applyFont="1"/>
    <xf numFmtId="14" fontId="118" fillId="0" borderId="0" xfId="253" applyFont="1"/>
    <xf numFmtId="37" fontId="51" fillId="0" borderId="0" xfId="256" applyNumberFormat="1" applyFont="1" applyBorder="1" applyAlignment="1">
      <alignment horizontal="left"/>
    </xf>
    <xf numFmtId="198" fontId="11" fillId="0" borderId="0" xfId="344" applyNumberFormat="1" applyFont="1" applyAlignment="1">
      <alignment horizontal="left"/>
    </xf>
    <xf numFmtId="37" fontId="9" fillId="0" borderId="0" xfId="256" applyNumberFormat="1" applyFont="1" applyAlignment="1">
      <alignment horizontal="left"/>
    </xf>
    <xf numFmtId="14" fontId="15" fillId="0" borderId="0" xfId="253" applyFont="1" applyAlignment="1">
      <alignment horizontal="left"/>
    </xf>
    <xf numFmtId="0" fontId="11" fillId="4" borderId="0" xfId="343" applyFont="1" applyFill="1"/>
    <xf numFmtId="0" fontId="9" fillId="4" borderId="0" xfId="343" applyFont="1" applyFill="1"/>
    <xf numFmtId="0" fontId="119" fillId="4" borderId="0" xfId="343" applyFont="1" applyFill="1"/>
    <xf numFmtId="10" fontId="9" fillId="4" borderId="0" xfId="344" applyNumberFormat="1" applyFont="1" applyFill="1"/>
    <xf numFmtId="172" fontId="9" fillId="4" borderId="0" xfId="343" applyNumberFormat="1" applyFont="1" applyFill="1"/>
    <xf numFmtId="0" fontId="120" fillId="4" borderId="0" xfId="343" applyFont="1" applyFill="1"/>
    <xf numFmtId="251" fontId="105" fillId="21" borderId="0" xfId="345" applyNumberFormat="1" applyFont="1" applyFill="1"/>
    <xf numFmtId="251" fontId="3" fillId="21" borderId="0" xfId="345" applyNumberFormat="1" applyFont="1" applyFill="1" applyBorder="1" applyAlignment="1">
      <alignment horizontal="right"/>
    </xf>
    <xf numFmtId="251" fontId="3" fillId="21" borderId="0" xfId="345" applyNumberFormat="1" applyFont="1" applyFill="1"/>
    <xf numFmtId="0" fontId="3" fillId="21" borderId="0" xfId="343" applyFont="1" applyFill="1" applyBorder="1" applyAlignment="1"/>
    <xf numFmtId="198" fontId="105" fillId="21" borderId="0" xfId="344" applyNumberFormat="1" applyFont="1" applyFill="1"/>
    <xf numFmtId="198" fontId="106" fillId="21" borderId="0" xfId="344" applyNumberFormat="1" applyFont="1" applyFill="1"/>
    <xf numFmtId="38" fontId="3" fillId="21" borderId="0" xfId="343" applyNumberFormat="1" applyFont="1" applyFill="1"/>
    <xf numFmtId="0" fontId="3" fillId="21" borderId="0" xfId="343" applyFont="1" applyFill="1" applyAlignment="1"/>
    <xf numFmtId="198" fontId="105" fillId="21" borderId="0" xfId="344" applyNumberFormat="1" applyFont="1" applyFill="1" applyBorder="1"/>
    <xf numFmtId="251" fontId="105" fillId="21" borderId="0" xfId="345" applyNumberFormat="1" applyFont="1" applyFill="1" applyBorder="1" applyAlignment="1">
      <alignment horizontal="right"/>
    </xf>
    <xf numFmtId="172" fontId="105" fillId="21" borderId="0" xfId="345" applyNumberFormat="1" applyFont="1" applyFill="1" applyBorder="1"/>
    <xf numFmtId="172" fontId="3" fillId="21" borderId="0" xfId="345" applyNumberFormat="1" applyFont="1" applyFill="1" applyBorder="1" applyAlignment="1">
      <alignment horizontal="right"/>
    </xf>
    <xf numFmtId="0" fontId="3" fillId="21" borderId="0" xfId="343" applyNumberFormat="1" applyFont="1" applyFill="1"/>
    <xf numFmtId="0" fontId="115" fillId="21" borderId="0" xfId="343" applyFont="1" applyFill="1" applyAlignment="1"/>
    <xf numFmtId="0" fontId="115" fillId="21" borderId="0" xfId="343" applyFont="1" applyFill="1" applyBorder="1" applyAlignment="1"/>
    <xf numFmtId="198" fontId="106" fillId="21" borderId="0" xfId="344" applyNumberFormat="1" applyFont="1" applyFill="1" applyBorder="1"/>
    <xf numFmtId="0" fontId="51" fillId="21" borderId="0" xfId="343" applyFont="1" applyFill="1" applyBorder="1" applyAlignment="1"/>
    <xf numFmtId="0" fontId="51" fillId="21" borderId="0" xfId="343" applyFont="1" applyFill="1" applyAlignment="1"/>
    <xf numFmtId="37" fontId="3" fillId="21" borderId="0" xfId="256" applyNumberFormat="1" applyFont="1" applyFill="1" applyBorder="1" applyAlignment="1"/>
    <xf numFmtId="37" fontId="3" fillId="21" borderId="20" xfId="256" applyNumberFormat="1" applyFont="1" applyFill="1" applyBorder="1" applyAlignment="1"/>
    <xf numFmtId="37" fontId="115" fillId="21" borderId="0" xfId="256" applyNumberFormat="1" applyFont="1" applyFill="1" applyBorder="1" applyAlignment="1"/>
    <xf numFmtId="37" fontId="115" fillId="21" borderId="20" xfId="256" applyNumberFormat="1" applyFont="1" applyFill="1" applyBorder="1" applyAlignment="1"/>
    <xf numFmtId="0" fontId="3" fillId="21" borderId="0" xfId="343" applyFont="1" applyFill="1" applyAlignment="1">
      <alignment horizontal="left" indent="1"/>
    </xf>
    <xf numFmtId="0" fontId="3" fillId="21" borderId="0" xfId="343" applyFont="1" applyFill="1" applyAlignment="1">
      <alignment horizontal="left" indent="2"/>
    </xf>
    <xf numFmtId="234" fontId="115" fillId="21" borderId="0" xfId="251" applyFont="1" applyFill="1" applyBorder="1" applyAlignment="1"/>
    <xf numFmtId="234" fontId="115" fillId="21" borderId="0" xfId="251" applyFont="1" applyFill="1" applyAlignment="1"/>
    <xf numFmtId="234" fontId="51" fillId="21" borderId="0" xfId="251" applyFont="1" applyFill="1" applyBorder="1" applyAlignment="1"/>
    <xf numFmtId="234" fontId="4" fillId="21" borderId="0" xfId="251" applyFont="1" applyFill="1" applyBorder="1" applyAlignment="1"/>
    <xf numFmtId="37" fontId="105" fillId="21" borderId="0" xfId="256" applyNumberFormat="1" applyFont="1" applyFill="1"/>
    <xf numFmtId="37" fontId="3" fillId="21" borderId="0" xfId="256" applyNumberFormat="1" applyFont="1" applyFill="1" applyBorder="1" applyAlignment="1">
      <alignment horizontal="right"/>
    </xf>
    <xf numFmtId="38" fontId="105" fillId="21" borderId="0" xfId="343" applyNumberFormat="1" applyFont="1" applyFill="1" applyBorder="1"/>
    <xf numFmtId="38" fontId="106" fillId="21" borderId="0" xfId="343" applyNumberFormat="1" applyFont="1" applyFill="1" applyBorder="1"/>
    <xf numFmtId="38" fontId="3" fillId="21" borderId="0" xfId="251" applyNumberFormat="1" applyFont="1" applyFill="1" applyBorder="1"/>
    <xf numFmtId="9" fontId="105" fillId="21" borderId="0" xfId="344" applyFont="1" applyFill="1"/>
    <xf numFmtId="17" fontId="108" fillId="4" borderId="3" xfId="256" applyNumberFormat="1" applyFont="1" applyFill="1" applyBorder="1" applyAlignment="1">
      <alignment horizontal="right"/>
    </xf>
    <xf numFmtId="37" fontId="51" fillId="4" borderId="3" xfId="256" applyNumberFormat="1" applyFont="1" applyFill="1" applyBorder="1" applyAlignment="1"/>
    <xf numFmtId="251" fontId="116" fillId="0" borderId="0" xfId="343" applyNumberFormat="1" applyFont="1" applyFill="1" applyAlignment="1" applyProtection="1"/>
    <xf numFmtId="37" fontId="121" fillId="0" borderId="0" xfId="256" applyNumberFormat="1" applyFont="1" applyBorder="1" applyAlignment="1">
      <alignment horizontal="right"/>
    </xf>
    <xf numFmtId="37" fontId="121" fillId="0" borderId="0" xfId="256" applyNumberFormat="1" applyFont="1" applyBorder="1" applyAlignment="1">
      <alignment horizontal="left"/>
    </xf>
    <xf numFmtId="37" fontId="111" fillId="0" borderId="0" xfId="256" applyNumberFormat="1" applyFont="1" applyBorder="1" applyAlignment="1">
      <alignment horizontal="right"/>
    </xf>
    <xf numFmtId="37" fontId="113" fillId="0" borderId="0" xfId="256" applyNumberFormat="1" applyFont="1" applyBorder="1" applyAlignment="1">
      <alignment horizontal="right"/>
    </xf>
    <xf numFmtId="251" fontId="103" fillId="0" borderId="0" xfId="345" applyNumberFormat="1" applyFont="1" applyFill="1" applyBorder="1" applyAlignment="1" applyProtection="1">
      <alignment horizontal="right"/>
    </xf>
    <xf numFmtId="0" fontId="116" fillId="0" borderId="0" xfId="343" applyFont="1" applyFill="1" applyBorder="1" applyAlignment="1" applyProtection="1"/>
    <xf numFmtId="251" fontId="108" fillId="0" borderId="0" xfId="343" applyNumberFormat="1" applyFont="1" applyFill="1" applyBorder="1" applyAlignment="1" applyProtection="1"/>
    <xf numFmtId="251" fontId="109" fillId="0" borderId="0" xfId="343" applyNumberFormat="1" applyFont="1" applyFill="1" applyBorder="1" applyAlignment="1" applyProtection="1"/>
    <xf numFmtId="251" fontId="116" fillId="0" borderId="0" xfId="343" applyNumberFormat="1" applyFont="1" applyFill="1" applyBorder="1" applyAlignment="1" applyProtection="1"/>
    <xf numFmtId="251" fontId="108" fillId="23" borderId="3" xfId="343" applyNumberFormat="1" applyFont="1" applyFill="1" applyBorder="1" applyAlignment="1" applyProtection="1">
      <alignment horizontal="right"/>
    </xf>
    <xf numFmtId="251" fontId="116" fillId="23" borderId="3" xfId="343" applyNumberFormat="1" applyFont="1" applyFill="1" applyBorder="1" applyAlignment="1" applyProtection="1"/>
    <xf numFmtId="0" fontId="116" fillId="23" borderId="3" xfId="343" applyFont="1" applyFill="1" applyBorder="1" applyAlignment="1" applyProtection="1"/>
    <xf numFmtId="251" fontId="108" fillId="23" borderId="3" xfId="343" applyNumberFormat="1" applyFont="1" applyFill="1" applyBorder="1" applyAlignment="1" applyProtection="1"/>
    <xf numFmtId="251" fontId="109" fillId="23" borderId="3" xfId="343" applyNumberFormat="1" applyFont="1" applyFill="1" applyBorder="1" applyAlignment="1" applyProtection="1"/>
    <xf numFmtId="0" fontId="105" fillId="0" borderId="0" xfId="343" applyFont="1" applyFill="1" applyBorder="1" applyAlignment="1" applyProtection="1">
      <alignment horizontal="right"/>
    </xf>
    <xf numFmtId="0" fontId="106" fillId="0" borderId="0" xfId="343" applyFont="1" applyFill="1" applyBorder="1" applyAlignment="1" applyProtection="1">
      <alignment horizontal="right"/>
    </xf>
    <xf numFmtId="251" fontId="108" fillId="0" borderId="0" xfId="343" applyNumberFormat="1" applyFont="1" applyFill="1" applyAlignment="1" applyProtection="1">
      <alignment horizontal="right"/>
    </xf>
    <xf numFmtId="251" fontId="108" fillId="0" borderId="0" xfId="343" applyNumberFormat="1" applyFont="1" applyFill="1" applyAlignment="1" applyProtection="1"/>
    <xf numFmtId="251" fontId="109" fillId="0" borderId="0" xfId="343" applyNumberFormat="1" applyFont="1" applyFill="1" applyAlignment="1" applyProtection="1"/>
    <xf numFmtId="251" fontId="105" fillId="0" borderId="0" xfId="343" applyNumberFormat="1" applyFont="1" applyFill="1" applyAlignment="1" applyProtection="1">
      <alignment horizontal="right"/>
    </xf>
    <xf numFmtId="251" fontId="3" fillId="0" borderId="0" xfId="343" applyNumberFormat="1" applyFont="1" applyFill="1" applyAlignment="1" applyProtection="1">
      <alignment horizontal="right"/>
    </xf>
    <xf numFmtId="0" fontId="103" fillId="0" borderId="0" xfId="343" applyFont="1" applyFill="1"/>
    <xf numFmtId="0" fontId="122" fillId="0" borderId="0" xfId="343" applyFont="1" applyFill="1" applyAlignment="1" applyProtection="1"/>
    <xf numFmtId="0" fontId="105" fillId="0" borderId="0" xfId="343" applyFont="1" applyFill="1" applyAlignment="1" applyProtection="1"/>
    <xf numFmtId="0" fontId="106" fillId="0" borderId="0" xfId="343" applyFont="1" applyFill="1" applyAlignment="1" applyProtection="1"/>
    <xf numFmtId="0" fontId="1" fillId="0" borderId="0" xfId="254"/>
    <xf numFmtId="0" fontId="1" fillId="0" borderId="0" xfId="254" applyFont="1"/>
    <xf numFmtId="0" fontId="123" fillId="0" borderId="0" xfId="254" applyFont="1"/>
    <xf numFmtId="0" fontId="124" fillId="0" borderId="0" xfId="254" applyFont="1"/>
    <xf numFmtId="0" fontId="3" fillId="0" borderId="0" xfId="254" applyFont="1"/>
    <xf numFmtId="0" fontId="105" fillId="0" borderId="0" xfId="254" applyFont="1"/>
    <xf numFmtId="0" fontId="106" fillId="0" borderId="0" xfId="254" applyFont="1"/>
    <xf numFmtId="198" fontId="105" fillId="21" borderId="0" xfId="344" applyNumberFormat="1" applyFont="1" applyFill="1" applyBorder="1" applyAlignment="1">
      <alignment horizontal="right"/>
    </xf>
    <xf numFmtId="198" fontId="3" fillId="21" borderId="0" xfId="344" applyNumberFormat="1" applyFont="1" applyFill="1" applyBorder="1" applyAlignment="1">
      <alignment horizontal="right"/>
    </xf>
    <xf numFmtId="172" fontId="3" fillId="21" borderId="0" xfId="345" applyFont="1" applyFill="1"/>
    <xf numFmtId="198" fontId="106" fillId="21" borderId="0" xfId="344" applyNumberFormat="1" applyFont="1" applyFill="1" applyBorder="1" applyAlignment="1">
      <alignment horizontal="right"/>
    </xf>
    <xf numFmtId="252" fontId="3" fillId="21" borderId="0" xfId="254" applyNumberFormat="1" applyFont="1" applyFill="1"/>
    <xf numFmtId="198" fontId="125" fillId="21" borderId="0" xfId="344" applyNumberFormat="1" applyFont="1" applyFill="1" applyBorder="1"/>
    <xf numFmtId="198" fontId="126" fillId="21" borderId="0" xfId="344" applyNumberFormat="1" applyFont="1" applyFill="1" applyBorder="1"/>
    <xf numFmtId="198" fontId="108" fillId="21" borderId="0" xfId="344" applyNumberFormat="1" applyFont="1" applyFill="1" applyBorder="1" applyAlignment="1">
      <alignment horizontal="left"/>
    </xf>
    <xf numFmtId="198" fontId="109" fillId="21" borderId="0" xfId="344" applyNumberFormat="1" applyFont="1" applyFill="1" applyBorder="1" applyAlignment="1">
      <alignment horizontal="left"/>
    </xf>
    <xf numFmtId="0" fontId="3" fillId="21" borderId="0" xfId="254" applyFont="1" applyFill="1" applyBorder="1"/>
    <xf numFmtId="198" fontId="125" fillId="21" borderId="0" xfId="344" applyNumberFormat="1" applyFont="1" applyFill="1"/>
    <xf numFmtId="198" fontId="126" fillId="21" borderId="0" xfId="344" applyNumberFormat="1" applyFont="1" applyFill="1"/>
    <xf numFmtId="198" fontId="108" fillId="21" borderId="0" xfId="344" applyNumberFormat="1" applyFont="1" applyFill="1"/>
    <xf numFmtId="198" fontId="51" fillId="21" borderId="0" xfId="344" applyNumberFormat="1" applyFont="1" applyFill="1"/>
    <xf numFmtId="172" fontId="3" fillId="21" borderId="0" xfId="345" applyFont="1" applyFill="1" applyBorder="1" applyAlignment="1">
      <alignment horizontal="right"/>
    </xf>
    <xf numFmtId="37" fontId="3" fillId="21" borderId="0" xfId="256" applyNumberFormat="1" applyFont="1" applyFill="1" applyBorder="1" applyAlignment="1">
      <alignment horizontal="left"/>
    </xf>
    <xf numFmtId="0" fontId="114" fillId="21" borderId="0" xfId="254" applyFont="1" applyFill="1" applyBorder="1"/>
    <xf numFmtId="252" fontId="3" fillId="21" borderId="0" xfId="344" applyNumberFormat="1" applyFont="1" applyFill="1"/>
    <xf numFmtId="198" fontId="3" fillId="21" borderId="0" xfId="344" applyNumberFormat="1" applyFont="1" applyFill="1"/>
    <xf numFmtId="234" fontId="108" fillId="21" borderId="0" xfId="251" applyFont="1" applyFill="1" applyBorder="1"/>
    <xf numFmtId="198" fontId="108" fillId="21" borderId="0" xfId="344" applyNumberFormat="1" applyFont="1" applyFill="1" applyBorder="1"/>
    <xf numFmtId="198" fontId="109" fillId="21" borderId="0" xfId="344" applyNumberFormat="1" applyFont="1" applyFill="1" applyBorder="1"/>
    <xf numFmtId="0" fontId="115" fillId="21" borderId="0" xfId="254" applyFont="1" applyFill="1" applyBorder="1"/>
    <xf numFmtId="198" fontId="127" fillId="21" borderId="0" xfId="344" applyNumberFormat="1" applyFont="1" applyFill="1"/>
    <xf numFmtId="198" fontId="128" fillId="21" borderId="0" xfId="344" applyNumberFormat="1" applyFont="1" applyFill="1"/>
    <xf numFmtId="198" fontId="105" fillId="0" borderId="0" xfId="344" applyNumberFormat="1" applyFont="1"/>
    <xf numFmtId="198" fontId="3" fillId="0" borderId="0" xfId="344" applyNumberFormat="1" applyFont="1"/>
    <xf numFmtId="198" fontId="3" fillId="0" borderId="0" xfId="344" applyNumberFormat="1" applyFont="1" applyBorder="1" applyAlignment="1">
      <alignment horizontal="right"/>
    </xf>
    <xf numFmtId="252" fontId="3" fillId="0" borderId="0" xfId="254" applyNumberFormat="1" applyFont="1"/>
    <xf numFmtId="0" fontId="3" fillId="0" borderId="0" xfId="254" applyFont="1" applyBorder="1"/>
    <xf numFmtId="198" fontId="106" fillId="0" borderId="0" xfId="344" applyNumberFormat="1" applyFont="1"/>
    <xf numFmtId="198" fontId="105" fillId="24" borderId="0" xfId="344" applyNumberFormat="1" applyFont="1" applyFill="1"/>
    <xf numFmtId="198" fontId="3" fillId="24" borderId="0" xfId="344" applyNumberFormat="1" applyFont="1" applyFill="1"/>
    <xf numFmtId="252" fontId="3" fillId="24" borderId="0" xfId="254" applyNumberFormat="1" applyFont="1" applyFill="1"/>
    <xf numFmtId="0" fontId="3" fillId="24" borderId="0" xfId="254" applyFont="1" applyFill="1" applyBorder="1"/>
    <xf numFmtId="198" fontId="106" fillId="24" borderId="0" xfId="344" applyNumberFormat="1" applyFont="1" applyFill="1"/>
    <xf numFmtId="234" fontId="3" fillId="24" borderId="0" xfId="251" applyFont="1" applyFill="1" applyBorder="1"/>
    <xf numFmtId="198" fontId="105" fillId="24" borderId="0" xfId="344" applyNumberFormat="1" applyFont="1" applyFill="1" applyBorder="1" applyAlignment="1">
      <alignment horizontal="right"/>
    </xf>
    <xf numFmtId="198" fontId="3" fillId="24" borderId="0" xfId="344" applyNumberFormat="1" applyFont="1" applyFill="1" applyBorder="1" applyAlignment="1">
      <alignment horizontal="right"/>
    </xf>
    <xf numFmtId="234" fontId="3" fillId="24" borderId="0" xfId="251" applyFont="1" applyFill="1" applyBorder="1" applyAlignment="1">
      <alignment horizontal="left"/>
    </xf>
    <xf numFmtId="198" fontId="106" fillId="24" borderId="0" xfId="344" applyNumberFormat="1" applyFont="1" applyFill="1" applyBorder="1" applyAlignment="1">
      <alignment horizontal="right"/>
    </xf>
    <xf numFmtId="234" fontId="114" fillId="24" borderId="0" xfId="251" applyFont="1" applyFill="1" applyBorder="1"/>
    <xf numFmtId="10" fontId="105" fillId="24" borderId="0" xfId="344" applyNumberFormat="1" applyFont="1" applyFill="1" applyBorder="1" applyAlignment="1">
      <alignment horizontal="right"/>
    </xf>
    <xf numFmtId="10" fontId="3" fillId="24" borderId="0" xfId="344" applyNumberFormat="1" applyFont="1" applyFill="1" applyBorder="1" applyAlignment="1">
      <alignment horizontal="right"/>
    </xf>
    <xf numFmtId="0" fontId="114" fillId="24" borderId="0" xfId="254" applyFont="1" applyFill="1" applyBorder="1"/>
    <xf numFmtId="198" fontId="125" fillId="24" borderId="0" xfId="344" applyNumberFormat="1" applyFont="1" applyFill="1"/>
    <xf numFmtId="198" fontId="126" fillId="24" borderId="0" xfId="344" applyNumberFormat="1" applyFont="1" applyFill="1"/>
    <xf numFmtId="253" fontId="3" fillId="24" borderId="0" xfId="344" applyNumberFormat="1" applyFont="1" applyFill="1" applyBorder="1" applyAlignment="1">
      <alignment horizontal="right"/>
    </xf>
    <xf numFmtId="251" fontId="105" fillId="24" borderId="0" xfId="345" applyNumberFormat="1" applyFont="1" applyFill="1"/>
    <xf numFmtId="251" fontId="3" fillId="24" borderId="0" xfId="345" applyNumberFormat="1" applyFont="1" applyFill="1"/>
    <xf numFmtId="0" fontId="3" fillId="24" borderId="0" xfId="254" applyFont="1" applyFill="1"/>
    <xf numFmtId="198" fontId="3" fillId="24" borderId="0" xfId="254" applyNumberFormat="1" applyFont="1" applyFill="1"/>
    <xf numFmtId="0" fontId="125" fillId="24" borderId="0" xfId="254" applyFont="1" applyFill="1"/>
    <xf numFmtId="0" fontId="126" fillId="24" borderId="0" xfId="254" applyFont="1" applyFill="1"/>
    <xf numFmtId="0" fontId="114" fillId="24" borderId="0" xfId="254" applyFont="1" applyFill="1"/>
    <xf numFmtId="172" fontId="3" fillId="24" borderId="0" xfId="254" applyNumberFormat="1" applyFont="1" applyFill="1"/>
    <xf numFmtId="254" fontId="3" fillId="24" borderId="0" xfId="254" applyNumberFormat="1" applyFont="1" applyFill="1"/>
    <xf numFmtId="0" fontId="115" fillId="24" borderId="0" xfId="254" applyFont="1" applyFill="1" applyBorder="1"/>
    <xf numFmtId="0" fontId="127" fillId="24" borderId="0" xfId="254" applyFont="1" applyFill="1"/>
    <xf numFmtId="0" fontId="128" fillId="24" borderId="0" xfId="254" applyFont="1" applyFill="1"/>
    <xf numFmtId="0" fontId="115" fillId="24" borderId="0" xfId="254" applyFont="1" applyFill="1"/>
    <xf numFmtId="9" fontId="3" fillId="0" borderId="0" xfId="344" applyFont="1"/>
    <xf numFmtId="2" fontId="3" fillId="11" borderId="0" xfId="256" applyNumberFormat="1" applyFont="1" applyFill="1" applyBorder="1"/>
    <xf numFmtId="39" fontId="3" fillId="11" borderId="0" xfId="255" applyNumberFormat="1" applyFont="1" applyFill="1" applyAlignment="1">
      <alignment horizontal="right"/>
    </xf>
    <xf numFmtId="2" fontId="3" fillId="11" borderId="0" xfId="256" applyNumberFormat="1" applyFont="1" applyFill="1" applyBorder="1" applyAlignment="1">
      <alignment horizontal="right"/>
    </xf>
    <xf numFmtId="39" fontId="3" fillId="11" borderId="0" xfId="255" applyNumberFormat="1" applyFont="1" applyFill="1" applyBorder="1" applyAlignment="1">
      <alignment horizontal="right" vertical="center"/>
    </xf>
    <xf numFmtId="2" fontId="3" fillId="11" borderId="0" xfId="251" applyNumberFormat="1" applyFont="1" applyFill="1" applyBorder="1" applyAlignment="1">
      <alignment horizontal="right"/>
    </xf>
    <xf numFmtId="234" fontId="3" fillId="11" borderId="0" xfId="251" applyFont="1" applyFill="1" applyBorder="1" applyAlignment="1">
      <alignment horizontal="left"/>
    </xf>
    <xf numFmtId="252" fontId="3" fillId="11" borderId="0" xfId="251" applyNumberFormat="1" applyFont="1" applyFill="1" applyBorder="1" applyAlignment="1">
      <alignment horizontal="left"/>
    </xf>
    <xf numFmtId="198" fontId="3" fillId="11" borderId="0" xfId="255" applyNumberFormat="1" applyFont="1" applyFill="1" applyAlignment="1">
      <alignment horizontal="right"/>
    </xf>
    <xf numFmtId="198" fontId="3" fillId="11" borderId="0" xfId="254" applyNumberFormat="1" applyFont="1" applyFill="1" applyAlignment="1">
      <alignment vertical="center"/>
    </xf>
    <xf numFmtId="198" fontId="3" fillId="11" borderId="0" xfId="254" applyNumberFormat="1" applyFont="1" applyFill="1" applyBorder="1" applyAlignment="1">
      <alignment vertical="center"/>
    </xf>
    <xf numFmtId="0" fontId="3" fillId="11" borderId="0" xfId="254" applyFont="1" applyFill="1"/>
    <xf numFmtId="234" fontId="3" fillId="11" borderId="0" xfId="251" applyFont="1" applyFill="1" applyBorder="1"/>
    <xf numFmtId="17" fontId="51" fillId="11" borderId="0" xfId="251" applyNumberFormat="1" applyFont="1" applyFill="1" applyBorder="1" applyAlignment="1">
      <alignment horizontal="right"/>
    </xf>
    <xf numFmtId="234" fontId="127" fillId="11" borderId="0" xfId="251" applyFont="1" applyFill="1" applyBorder="1" applyAlignment="1">
      <alignment horizontal="left"/>
    </xf>
    <xf numFmtId="234" fontId="115" fillId="11" borderId="0" xfId="251" applyFont="1" applyFill="1" applyBorder="1" applyAlignment="1">
      <alignment horizontal="left"/>
    </xf>
    <xf numFmtId="0" fontId="3" fillId="0" borderId="0" xfId="254" applyFont="1" applyFill="1" applyBorder="1"/>
    <xf numFmtId="0" fontId="105" fillId="0" borderId="0" xfId="254" applyFont="1" applyBorder="1"/>
    <xf numFmtId="0" fontId="106" fillId="0" borderId="0" xfId="254" applyFont="1" applyBorder="1"/>
    <xf numFmtId="17" fontId="51" fillId="4" borderId="3" xfId="256" quotePrefix="1" applyNumberFormat="1" applyFont="1" applyFill="1" applyBorder="1" applyAlignment="1">
      <alignment horizontal="center"/>
    </xf>
    <xf numFmtId="0" fontId="108" fillId="4" borderId="3" xfId="256" applyNumberFormat="1" applyFont="1" applyFill="1" applyBorder="1" applyAlignment="1">
      <alignment horizontal="right"/>
    </xf>
    <xf numFmtId="0" fontId="109" fillId="4" borderId="3" xfId="256" applyNumberFormat="1" applyFont="1" applyFill="1" applyBorder="1" applyAlignment="1">
      <alignment horizontal="right"/>
    </xf>
    <xf numFmtId="0" fontId="51" fillId="4" borderId="3" xfId="256" applyNumberFormat="1" applyFont="1" applyFill="1" applyBorder="1" applyAlignment="1">
      <alignment horizontal="right"/>
    </xf>
    <xf numFmtId="37" fontId="108" fillId="0" borderId="0" xfId="256" applyNumberFormat="1" applyFont="1" applyBorder="1" applyAlignment="1">
      <alignment horizontal="center"/>
    </xf>
    <xf numFmtId="37" fontId="51" fillId="0" borderId="0" xfId="256" applyNumberFormat="1" applyFont="1" applyBorder="1" applyAlignment="1">
      <alignment horizontal="right"/>
    </xf>
    <xf numFmtId="49" fontId="51" fillId="0" borderId="0" xfId="253" applyNumberFormat="1" applyFont="1" applyBorder="1" applyAlignment="1">
      <alignment horizontal="right"/>
    </xf>
    <xf numFmtId="49" fontId="51" fillId="0" borderId="0" xfId="253" applyNumberFormat="1" applyFont="1" applyBorder="1" applyAlignment="1">
      <alignment horizontal="center"/>
    </xf>
    <xf numFmtId="0" fontId="108" fillId="0" borderId="0" xfId="254" applyFont="1" applyBorder="1" applyAlignment="1">
      <alignment horizontal="right"/>
    </xf>
    <xf numFmtId="0" fontId="109" fillId="0" borderId="0" xfId="254" applyFont="1" applyBorder="1" applyAlignment="1">
      <alignment horizontal="right"/>
    </xf>
    <xf numFmtId="37" fontId="51" fillId="0" borderId="0" xfId="254" applyNumberFormat="1" applyFont="1" applyBorder="1" applyAlignment="1">
      <alignment horizontal="right"/>
    </xf>
    <xf numFmtId="0" fontId="51" fillId="0" borderId="0" xfId="254" applyFont="1" applyBorder="1" applyAlignment="1">
      <alignment horizontal="right"/>
    </xf>
    <xf numFmtId="252" fontId="123" fillId="0" borderId="0" xfId="254" applyNumberFormat="1" applyFont="1"/>
    <xf numFmtId="252" fontId="1" fillId="0" borderId="0" xfId="254" applyNumberFormat="1" applyFont="1"/>
    <xf numFmtId="0" fontId="1" fillId="0" borderId="0" xfId="254" applyFont="1" applyFill="1"/>
    <xf numFmtId="37" fontId="15" fillId="0" borderId="0" xfId="256" applyNumberFormat="1" applyFont="1" applyAlignment="1">
      <alignment horizontal="left"/>
    </xf>
    <xf numFmtId="0" fontId="9" fillId="4" borderId="0" xfId="254" applyFont="1" applyFill="1"/>
    <xf numFmtId="0" fontId="11" fillId="4" borderId="0" xfId="254" applyFont="1" applyFill="1"/>
    <xf numFmtId="0" fontId="119" fillId="4" borderId="0" xfId="254" applyFont="1" applyFill="1"/>
    <xf numFmtId="172" fontId="9" fillId="4" borderId="0" xfId="254" applyNumberFormat="1" applyFont="1" applyFill="1"/>
    <xf numFmtId="0" fontId="120" fillId="4" borderId="0" xfId="254" applyFont="1" applyFill="1"/>
    <xf numFmtId="198" fontId="111" fillId="0" borderId="0" xfId="344" applyNumberFormat="1" applyFont="1"/>
    <xf numFmtId="198" fontId="113" fillId="0" borderId="0" xfId="344" applyNumberFormat="1" applyFont="1"/>
    <xf numFmtId="251" fontId="106" fillId="0" borderId="0" xfId="345" applyNumberFormat="1" applyFont="1"/>
    <xf numFmtId="251" fontId="51" fillId="0" borderId="0" xfId="345" applyNumberFormat="1" applyFont="1"/>
    <xf numFmtId="0" fontId="1" fillId="0" borderId="0" xfId="250" applyFont="1"/>
    <xf numFmtId="0" fontId="123" fillId="0" borderId="0" xfId="250" applyFont="1"/>
    <xf numFmtId="0" fontId="1" fillId="0" borderId="0" xfId="250"/>
    <xf numFmtId="0" fontId="124" fillId="0" borderId="0" xfId="250" applyFont="1"/>
    <xf numFmtId="0" fontId="3" fillId="0" borderId="0" xfId="250" applyFont="1"/>
    <xf numFmtId="0" fontId="105" fillId="0" borderId="0" xfId="250" applyFont="1"/>
    <xf numFmtId="0" fontId="106" fillId="0" borderId="0" xfId="250" applyFont="1"/>
    <xf numFmtId="172" fontId="3" fillId="0" borderId="0" xfId="345" applyFont="1"/>
    <xf numFmtId="0" fontId="3" fillId="0" borderId="0" xfId="255" applyFont="1" applyBorder="1"/>
    <xf numFmtId="198" fontId="105" fillId="0" borderId="0" xfId="344" applyNumberFormat="1" applyFont="1" applyBorder="1"/>
    <xf numFmtId="198" fontId="3" fillId="0" borderId="0" xfId="344" applyNumberFormat="1" applyFont="1" applyBorder="1"/>
    <xf numFmtId="198" fontId="106" fillId="0" borderId="0" xfId="344" applyNumberFormat="1" applyFont="1" applyBorder="1"/>
    <xf numFmtId="198" fontId="111" fillId="0" borderId="0" xfId="344" applyNumberFormat="1" applyFont="1" applyBorder="1"/>
    <xf numFmtId="198" fontId="112" fillId="0" borderId="0" xfId="344" applyNumberFormat="1" applyFont="1" applyBorder="1"/>
    <xf numFmtId="198" fontId="113" fillId="0" borderId="0" xfId="344" applyNumberFormat="1" applyFont="1" applyBorder="1"/>
    <xf numFmtId="0" fontId="112" fillId="0" borderId="0" xfId="255" applyFont="1" applyBorder="1"/>
    <xf numFmtId="38" fontId="108" fillId="0" borderId="0" xfId="250" applyNumberFormat="1" applyFont="1" applyBorder="1"/>
    <xf numFmtId="38" fontId="51" fillId="0" borderId="0" xfId="250" applyNumberFormat="1" applyFont="1" applyBorder="1"/>
    <xf numFmtId="38" fontId="109" fillId="0" borderId="0" xfId="250" applyNumberFormat="1" applyFont="1" applyBorder="1"/>
    <xf numFmtId="0" fontId="51" fillId="0" borderId="0" xfId="250" applyFont="1" applyBorder="1"/>
    <xf numFmtId="38" fontId="105" fillId="0" borderId="0" xfId="250" applyNumberFormat="1" applyFont="1" applyBorder="1"/>
    <xf numFmtId="38" fontId="3" fillId="0" borderId="0" xfId="250" applyNumberFormat="1" applyFont="1" applyBorder="1"/>
    <xf numFmtId="38" fontId="106" fillId="0" borderId="0" xfId="250" applyNumberFormat="1" applyFont="1" applyBorder="1"/>
    <xf numFmtId="0" fontId="3" fillId="0" borderId="0" xfId="250" applyFont="1" applyBorder="1"/>
    <xf numFmtId="38" fontId="105" fillId="0" borderId="0" xfId="255" applyNumberFormat="1" applyFont="1" applyBorder="1"/>
    <xf numFmtId="38" fontId="3" fillId="0" borderId="0" xfId="255" applyNumberFormat="1" applyFont="1" applyBorder="1"/>
    <xf numFmtId="38" fontId="106" fillId="0" borderId="0" xfId="255" applyNumberFormat="1" applyFont="1" applyBorder="1"/>
    <xf numFmtId="0" fontId="105" fillId="0" borderId="0" xfId="255" applyFont="1" applyBorder="1"/>
    <xf numFmtId="0" fontId="106" fillId="0" borderId="0" xfId="255" applyFont="1" applyBorder="1"/>
    <xf numFmtId="198" fontId="108" fillId="0" borderId="0" xfId="344" applyNumberFormat="1" applyFont="1" applyBorder="1" applyAlignment="1">
      <alignment horizontal="right"/>
    </xf>
    <xf numFmtId="198" fontId="51" fillId="0" borderId="0" xfId="344" applyNumberFormat="1" applyFont="1" applyBorder="1" applyAlignment="1">
      <alignment horizontal="right"/>
    </xf>
    <xf numFmtId="17" fontId="51" fillId="4" borderId="3" xfId="256" applyNumberFormat="1" applyFont="1" applyFill="1" applyBorder="1" applyAlignment="1">
      <alignment horizontal="right"/>
    </xf>
    <xf numFmtId="17" fontId="109" fillId="4" borderId="3" xfId="256" applyNumberFormat="1" applyFont="1" applyFill="1" applyBorder="1" applyAlignment="1">
      <alignment horizontal="right"/>
    </xf>
    <xf numFmtId="234" fontId="51" fillId="4" borderId="3" xfId="252" applyFont="1" applyFill="1" applyBorder="1" applyAlignment="1">
      <alignment horizontal="left"/>
    </xf>
    <xf numFmtId="0" fontId="111" fillId="0" borderId="0" xfId="255" applyFont="1" applyBorder="1"/>
    <xf numFmtId="0" fontId="113" fillId="0" borderId="0" xfId="255" applyFont="1" applyBorder="1"/>
    <xf numFmtId="251" fontId="105" fillId="0" borderId="0" xfId="345" applyNumberFormat="1" applyFont="1" applyBorder="1" applyAlignment="1" applyProtection="1">
      <alignment horizontal="right"/>
      <protection locked="0"/>
    </xf>
    <xf numFmtId="251" fontId="3" fillId="0" borderId="0" xfId="345" applyNumberFormat="1" applyFont="1" applyBorder="1" applyAlignment="1" applyProtection="1">
      <alignment horizontal="right"/>
      <protection locked="0"/>
    </xf>
    <xf numFmtId="251" fontId="106" fillId="0" borderId="0" xfId="345" applyNumberFormat="1" applyFont="1" applyBorder="1" applyAlignment="1" applyProtection="1">
      <alignment horizontal="right"/>
      <protection locked="0"/>
    </xf>
    <xf numFmtId="38" fontId="105" fillId="0" borderId="0" xfId="250" applyNumberFormat="1" applyFont="1"/>
    <xf numFmtId="38" fontId="3" fillId="0" borderId="0" xfId="250" applyNumberFormat="1" applyFont="1"/>
    <xf numFmtId="37" fontId="105" fillId="0" borderId="0" xfId="255" applyNumberFormat="1" applyFont="1" applyBorder="1"/>
    <xf numFmtId="37" fontId="3" fillId="0" borderId="0" xfId="255" applyNumberFormat="1" applyFont="1" applyBorder="1"/>
    <xf numFmtId="0" fontId="108" fillId="0" borderId="0" xfId="255" applyFont="1" applyBorder="1"/>
    <xf numFmtId="0" fontId="51" fillId="0" borderId="0" xfId="255" applyFont="1" applyBorder="1"/>
    <xf numFmtId="0" fontId="109" fillId="0" borderId="0" xfId="255" applyFont="1" applyBorder="1"/>
    <xf numFmtId="251" fontId="3" fillId="0" borderId="0" xfId="345" applyNumberFormat="1" applyFont="1" applyBorder="1"/>
    <xf numFmtId="251" fontId="105" fillId="0" borderId="0" xfId="255" applyNumberFormat="1" applyFont="1" applyBorder="1"/>
    <xf numFmtId="251" fontId="3" fillId="0" borderId="0" xfId="255" applyNumberFormat="1" applyFont="1" applyBorder="1"/>
    <xf numFmtId="251" fontId="106" fillId="0" borderId="0" xfId="255" applyNumberFormat="1" applyFont="1" applyBorder="1"/>
    <xf numFmtId="0" fontId="115" fillId="4" borderId="3" xfId="255" applyFont="1" applyFill="1" applyBorder="1"/>
    <xf numFmtId="255" fontId="3" fillId="0" borderId="0" xfId="345" applyNumberFormat="1" applyFont="1" applyBorder="1" applyAlignment="1" applyProtection="1">
      <alignment horizontal="right"/>
      <protection locked="0"/>
    </xf>
    <xf numFmtId="198" fontId="105" fillId="0" borderId="0" xfId="344" applyNumberFormat="1" applyFont="1" applyBorder="1" applyAlignment="1" applyProtection="1">
      <alignment horizontal="right"/>
      <protection locked="0"/>
    </xf>
    <xf numFmtId="198" fontId="3" fillId="0" borderId="0" xfId="344" applyNumberFormat="1" applyFont="1" applyBorder="1" applyAlignment="1" applyProtection="1">
      <alignment horizontal="right"/>
      <protection locked="0"/>
    </xf>
    <xf numFmtId="198" fontId="106" fillId="0" borderId="0" xfId="344" applyNumberFormat="1" applyFont="1" applyBorder="1" applyAlignment="1" applyProtection="1">
      <alignment horizontal="right"/>
      <protection locked="0"/>
    </xf>
    <xf numFmtId="14" fontId="3" fillId="0" borderId="0" xfId="253" applyFont="1" applyBorder="1" applyAlignment="1" applyProtection="1">
      <alignment horizontal="left"/>
      <protection locked="0"/>
    </xf>
    <xf numFmtId="0" fontId="3" fillId="0" borderId="0" xfId="250" applyFont="1" applyFill="1"/>
    <xf numFmtId="198" fontId="105" fillId="0" borderId="0" xfId="344" applyNumberFormat="1" applyFont="1" applyFill="1" applyBorder="1"/>
    <xf numFmtId="198" fontId="3" fillId="0" borderId="0" xfId="344" applyNumberFormat="1" applyFont="1" applyFill="1" applyBorder="1"/>
    <xf numFmtId="198" fontId="106" fillId="0" borderId="0" xfId="344" applyNumberFormat="1" applyFont="1" applyFill="1" applyBorder="1"/>
    <xf numFmtId="0" fontId="51" fillId="0" borderId="0" xfId="255" applyFont="1" applyFill="1" applyBorder="1"/>
    <xf numFmtId="0" fontId="1" fillId="0" borderId="0" xfId="250" applyFill="1"/>
    <xf numFmtId="0" fontId="3" fillId="0" borderId="0" xfId="255" applyFont="1" applyFill="1" applyBorder="1"/>
    <xf numFmtId="198" fontId="108" fillId="0" borderId="0" xfId="344" applyNumberFormat="1" applyFont="1" applyBorder="1"/>
    <xf numFmtId="198" fontId="51" fillId="0" borderId="0" xfId="344" applyNumberFormat="1" applyFont="1" applyBorder="1"/>
    <xf numFmtId="198" fontId="109" fillId="0" borderId="0" xfId="344" applyNumberFormat="1" applyFont="1" applyBorder="1"/>
    <xf numFmtId="251" fontId="105" fillId="0" borderId="0" xfId="345" applyNumberFormat="1" applyFont="1" applyBorder="1"/>
    <xf numFmtId="251" fontId="106" fillId="0" borderId="0" xfId="345" applyNumberFormat="1" applyFont="1" applyBorder="1"/>
    <xf numFmtId="172" fontId="3" fillId="0" borderId="0" xfId="345" applyNumberFormat="1" applyFont="1"/>
    <xf numFmtId="172" fontId="105" fillId="0" borderId="0" xfId="345" applyNumberFormat="1" applyFont="1" applyBorder="1" applyAlignment="1" applyProtection="1">
      <alignment horizontal="right"/>
      <protection locked="0"/>
    </xf>
    <xf numFmtId="172" fontId="3" fillId="0" borderId="0" xfId="345" applyNumberFormat="1" applyFont="1" applyBorder="1" applyAlignment="1" applyProtection="1">
      <alignment horizontal="right"/>
      <protection locked="0"/>
    </xf>
    <xf numFmtId="172" fontId="106" fillId="0" borderId="0" xfId="345" applyNumberFormat="1" applyFont="1" applyBorder="1" applyAlignment="1" applyProtection="1">
      <alignment horizontal="right"/>
      <protection locked="0"/>
    </xf>
    <xf numFmtId="251" fontId="108" fillId="0" borderId="3" xfId="255" applyNumberFormat="1" applyFont="1" applyFill="1" applyBorder="1"/>
    <xf numFmtId="251" fontId="51" fillId="0" borderId="3" xfId="255" applyNumberFormat="1" applyFont="1" applyFill="1" applyBorder="1"/>
    <xf numFmtId="251" fontId="109" fillId="0" borderId="3" xfId="255" applyNumberFormat="1" applyFont="1" applyFill="1" applyBorder="1"/>
    <xf numFmtId="14" fontId="51" fillId="0" borderId="3" xfId="253" applyFont="1" applyFill="1" applyBorder="1" applyAlignment="1"/>
    <xf numFmtId="251" fontId="105" fillId="0" borderId="0" xfId="345" applyNumberFormat="1" applyFont="1" applyFill="1" applyBorder="1"/>
    <xf numFmtId="251" fontId="3" fillId="0" borderId="0" xfId="345" applyNumberFormat="1" applyFont="1" applyFill="1" applyBorder="1"/>
    <xf numFmtId="251" fontId="106" fillId="0" borderId="0" xfId="345" applyNumberFormat="1" applyFont="1" applyFill="1" applyBorder="1"/>
    <xf numFmtId="14" fontId="3" fillId="0" borderId="0" xfId="253" applyFont="1" applyBorder="1" applyAlignment="1" applyProtection="1">
      <protection locked="0"/>
    </xf>
    <xf numFmtId="251" fontId="105" fillId="0" borderId="0" xfId="345" applyNumberFormat="1" applyFont="1" applyFill="1"/>
    <xf numFmtId="251" fontId="3" fillId="0" borderId="0" xfId="345" applyNumberFormat="1" applyFont="1" applyFill="1"/>
    <xf numFmtId="14" fontId="51" fillId="0" borderId="3" xfId="253" applyFont="1" applyFill="1" applyBorder="1" applyAlignment="1">
      <alignment horizontal="left"/>
    </xf>
    <xf numFmtId="14" fontId="3" fillId="0" borderId="0" xfId="253" applyFont="1" applyBorder="1" applyAlignment="1">
      <alignment horizontal="left"/>
    </xf>
    <xf numFmtId="0" fontId="105" fillId="0" borderId="0" xfId="250" applyFont="1" applyFill="1"/>
    <xf numFmtId="0" fontId="106" fillId="0" borderId="0" xfId="250" applyFont="1" applyFill="1"/>
    <xf numFmtId="14" fontId="3" fillId="0" borderId="0" xfId="253" applyFont="1" applyFill="1" applyBorder="1" applyAlignment="1" applyProtection="1">
      <alignment horizontal="left"/>
      <protection locked="0"/>
    </xf>
    <xf numFmtId="14" fontId="3" fillId="0" borderId="0" xfId="253" quotePrefix="1" applyFont="1" applyFill="1" applyBorder="1" applyAlignment="1" applyProtection="1">
      <alignment horizontal="left"/>
      <protection locked="0"/>
    </xf>
    <xf numFmtId="0" fontId="105" fillId="0" borderId="0" xfId="255" applyFont="1" applyFill="1" applyBorder="1"/>
    <xf numFmtId="0" fontId="106" fillId="0" borderId="0" xfId="255" applyFont="1" applyFill="1" applyBorder="1"/>
    <xf numFmtId="251" fontId="108" fillId="0" borderId="3" xfId="250" applyNumberFormat="1" applyFont="1" applyFill="1" applyBorder="1"/>
    <xf numFmtId="251" fontId="51" fillId="0" borderId="3" xfId="250" applyNumberFormat="1" applyFont="1" applyFill="1" applyBorder="1"/>
    <xf numFmtId="251" fontId="109" fillId="0" borderId="3" xfId="250" applyNumberFormat="1" applyFont="1" applyFill="1" applyBorder="1"/>
    <xf numFmtId="40" fontId="3" fillId="0" borderId="0" xfId="165" applyFont="1" applyFill="1" applyBorder="1" applyAlignment="1" applyProtection="1">
      <alignment horizontal="left"/>
      <protection locked="0"/>
    </xf>
    <xf numFmtId="251" fontId="108" fillId="0" borderId="0" xfId="345" applyNumberFormat="1" applyFont="1" applyBorder="1"/>
    <xf numFmtId="251" fontId="51" fillId="0" borderId="0" xfId="345" applyNumberFormat="1" applyFont="1" applyBorder="1"/>
    <xf numFmtId="251" fontId="109" fillId="0" borderId="0" xfId="345" applyNumberFormat="1" applyFont="1" applyBorder="1"/>
    <xf numFmtId="14" fontId="51" fillId="0" borderId="0" xfId="253" applyFont="1" applyBorder="1" applyAlignment="1" applyProtection="1">
      <alignment horizontal="left"/>
      <protection locked="0"/>
    </xf>
    <xf numFmtId="0" fontId="115" fillId="0" borderId="0" xfId="255" applyFont="1" applyBorder="1"/>
    <xf numFmtId="0" fontId="9" fillId="4" borderId="0" xfId="250" applyFont="1" applyFill="1"/>
    <xf numFmtId="0" fontId="11" fillId="4" borderId="0" xfId="250" applyFont="1" applyFill="1"/>
    <xf numFmtId="0" fontId="1" fillId="0" borderId="0" xfId="249" applyFont="1"/>
    <xf numFmtId="0" fontId="124" fillId="0" borderId="0" xfId="249" applyFont="1"/>
    <xf numFmtId="0" fontId="3" fillId="0" borderId="0" xfId="249" applyFont="1"/>
    <xf numFmtId="0" fontId="106" fillId="0" borderId="0" xfId="249" applyFont="1"/>
    <xf numFmtId="198" fontId="3" fillId="0" borderId="0" xfId="249" applyNumberFormat="1" applyFont="1"/>
    <xf numFmtId="198" fontId="106" fillId="0" borderId="0" xfId="249" applyNumberFormat="1" applyFont="1"/>
    <xf numFmtId="0" fontId="112" fillId="0" borderId="0" xfId="249" applyFont="1"/>
    <xf numFmtId="198" fontId="112" fillId="0" borderId="0" xfId="344" applyNumberFormat="1" applyFont="1"/>
    <xf numFmtId="0" fontId="51" fillId="0" borderId="0" xfId="249" applyFont="1"/>
    <xf numFmtId="198" fontId="108" fillId="4" borderId="3" xfId="344" applyNumberFormat="1" applyFont="1" applyFill="1" applyBorder="1"/>
    <xf numFmtId="198" fontId="51" fillId="4" borderId="3" xfId="344" applyNumberFormat="1" applyFont="1" applyFill="1" applyBorder="1"/>
    <xf numFmtId="198" fontId="109" fillId="4" borderId="3" xfId="344" applyNumberFormat="1" applyFont="1" applyFill="1" applyBorder="1"/>
    <xf numFmtId="0" fontId="51" fillId="4" borderId="3" xfId="249" applyFont="1" applyFill="1" applyBorder="1"/>
    <xf numFmtId="256" fontId="105" fillId="0" borderId="0" xfId="345" applyNumberFormat="1" applyFont="1"/>
    <xf numFmtId="256" fontId="3" fillId="0" borderId="0" xfId="345" applyNumberFormat="1" applyFont="1"/>
    <xf numFmtId="256" fontId="106" fillId="0" borderId="0" xfId="345" applyNumberFormat="1" applyFont="1"/>
    <xf numFmtId="198" fontId="108" fillId="3" borderId="3" xfId="249" applyNumberFormat="1" applyFont="1" applyFill="1" applyBorder="1"/>
    <xf numFmtId="198" fontId="51" fillId="3" borderId="3" xfId="249" applyNumberFormat="1" applyFont="1" applyFill="1" applyBorder="1"/>
    <xf numFmtId="198" fontId="109" fillId="3" borderId="3" xfId="249" applyNumberFormat="1" applyFont="1" applyFill="1" applyBorder="1"/>
    <xf numFmtId="0" fontId="51" fillId="3" borderId="3" xfId="249" applyFont="1" applyFill="1" applyBorder="1"/>
    <xf numFmtId="198" fontId="108" fillId="3" borderId="3" xfId="344" applyNumberFormat="1" applyFont="1" applyFill="1" applyBorder="1"/>
    <xf numFmtId="198" fontId="51" fillId="3" borderId="3" xfId="344" applyNumberFormat="1" applyFont="1" applyFill="1" applyBorder="1"/>
    <xf numFmtId="198" fontId="109" fillId="3" borderId="3" xfId="344" applyNumberFormat="1" applyFont="1" applyFill="1" applyBorder="1"/>
    <xf numFmtId="17" fontId="108" fillId="0" borderId="18" xfId="256" quotePrefix="1" applyNumberFormat="1" applyFont="1" applyBorder="1" applyAlignment="1">
      <alignment horizontal="right"/>
    </xf>
    <xf numFmtId="17" fontId="51" fillId="0" borderId="18" xfId="256" quotePrefix="1" applyNumberFormat="1" applyFont="1" applyBorder="1" applyAlignment="1">
      <alignment horizontal="right"/>
    </xf>
    <xf numFmtId="17" fontId="109" fillId="0" borderId="18" xfId="256" quotePrefix="1" applyNumberFormat="1" applyFont="1" applyBorder="1" applyAlignment="1">
      <alignment horizontal="right"/>
    </xf>
    <xf numFmtId="234" fontId="51" fillId="0" borderId="18" xfId="252" applyFont="1" applyFill="1" applyBorder="1" applyAlignment="1">
      <alignment horizontal="left"/>
    </xf>
    <xf numFmtId="0" fontId="109" fillId="0" borderId="18" xfId="256" quotePrefix="1" applyNumberFormat="1" applyFont="1" applyBorder="1" applyAlignment="1">
      <alignment horizontal="right"/>
    </xf>
    <xf numFmtId="0" fontId="51" fillId="0" borderId="18" xfId="256" quotePrefix="1" applyNumberFormat="1" applyFont="1" applyBorder="1" applyAlignment="1">
      <alignment horizontal="right"/>
    </xf>
    <xf numFmtId="0" fontId="1" fillId="0" borderId="0" xfId="249" applyFont="1" applyBorder="1"/>
    <xf numFmtId="0" fontId="124" fillId="0" borderId="0" xfId="249" applyFont="1" applyBorder="1"/>
    <xf numFmtId="37" fontId="9" fillId="0" borderId="0" xfId="256" applyNumberFormat="1" applyFont="1" applyBorder="1" applyAlignment="1">
      <alignment horizontal="left"/>
    </xf>
    <xf numFmtId="37" fontId="15" fillId="0" borderId="0" xfId="256" applyNumberFormat="1" applyFont="1" applyBorder="1" applyAlignment="1">
      <alignment horizontal="left"/>
    </xf>
    <xf numFmtId="0" fontId="9" fillId="4" borderId="0" xfId="249" applyFont="1" applyFill="1"/>
    <xf numFmtId="0" fontId="119" fillId="4" borderId="0" xfId="249" applyFont="1" applyFill="1"/>
    <xf numFmtId="0" fontId="3" fillId="0" borderId="0" xfId="250" applyFont="1" applyFill="1" applyBorder="1"/>
    <xf numFmtId="256" fontId="3" fillId="0" borderId="29" xfId="250" applyNumberFormat="1" applyFont="1" applyFill="1" applyBorder="1"/>
    <xf numFmtId="0" fontId="3" fillId="0" borderId="24" xfId="250" applyFont="1" applyFill="1" applyBorder="1"/>
    <xf numFmtId="256" fontId="3" fillId="0" borderId="30" xfId="250" applyNumberFormat="1" applyFont="1" applyFill="1" applyBorder="1"/>
    <xf numFmtId="0" fontId="3" fillId="0" borderId="25" xfId="250" applyFont="1" applyFill="1" applyBorder="1"/>
    <xf numFmtId="257" fontId="3" fillId="0" borderId="0" xfId="250" applyNumberFormat="1" applyFont="1" applyFill="1"/>
    <xf numFmtId="198" fontId="51" fillId="0" borderId="29" xfId="343" applyNumberFormat="1" applyFont="1" applyBorder="1"/>
    <xf numFmtId="0" fontId="51" fillId="0" borderId="31" xfId="343" applyFont="1" applyBorder="1"/>
    <xf numFmtId="0" fontId="51" fillId="0" borderId="24" xfId="343" applyFont="1" applyFill="1" applyBorder="1"/>
    <xf numFmtId="0" fontId="51" fillId="3" borderId="21" xfId="250" applyFont="1" applyFill="1" applyBorder="1"/>
    <xf numFmtId="0" fontId="51" fillId="3" borderId="23" xfId="250" applyFont="1" applyFill="1" applyBorder="1"/>
    <xf numFmtId="198" fontId="3" fillId="0" borderId="30" xfId="343" applyNumberFormat="1" applyFont="1" applyBorder="1"/>
    <xf numFmtId="0" fontId="3" fillId="0" borderId="0" xfId="343" applyFont="1" applyBorder="1"/>
    <xf numFmtId="0" fontId="3" fillId="0" borderId="25" xfId="343" applyFont="1" applyFill="1" applyBorder="1"/>
    <xf numFmtId="198" fontId="51" fillId="0" borderId="0" xfId="250" applyNumberFormat="1" applyFont="1" applyFill="1" applyBorder="1"/>
    <xf numFmtId="256" fontId="51" fillId="0" borderId="0" xfId="250" applyNumberFormat="1" applyFont="1" applyFill="1" applyBorder="1"/>
    <xf numFmtId="0" fontId="51" fillId="0" borderId="0" xfId="250" applyFont="1" applyFill="1" applyBorder="1"/>
    <xf numFmtId="258" fontId="3" fillId="0" borderId="30" xfId="250" applyNumberFormat="1" applyFont="1" applyFill="1" applyBorder="1" applyAlignment="1">
      <alignment horizontal="right"/>
    </xf>
    <xf numFmtId="259" fontId="3" fillId="0" borderId="30" xfId="343" applyNumberFormat="1" applyFont="1" applyFill="1" applyBorder="1"/>
    <xf numFmtId="258" fontId="3" fillId="0" borderId="30" xfId="250" applyNumberFormat="1" applyFont="1" applyFill="1" applyBorder="1"/>
    <xf numFmtId="43" fontId="3" fillId="0" borderId="26" xfId="167" applyFont="1" applyFill="1" applyBorder="1"/>
    <xf numFmtId="0" fontId="3" fillId="0" borderId="27" xfId="343" applyFont="1" applyBorder="1"/>
    <xf numFmtId="0" fontId="3" fillId="0" borderId="28" xfId="343" applyFont="1" applyFill="1" applyBorder="1"/>
    <xf numFmtId="0" fontId="51" fillId="3" borderId="22" xfId="250" applyFont="1" applyFill="1" applyBorder="1"/>
    <xf numFmtId="0" fontId="3" fillId="0" borderId="29" xfId="250" applyFont="1" applyBorder="1"/>
    <xf numFmtId="0" fontId="3" fillId="0" borderId="31" xfId="250" applyFont="1" applyBorder="1"/>
    <xf numFmtId="260" fontId="3" fillId="0" borderId="31" xfId="167" applyNumberFormat="1" applyFont="1" applyBorder="1"/>
    <xf numFmtId="260" fontId="51" fillId="0" borderId="29" xfId="167" applyNumberFormat="1" applyFont="1" applyFill="1" applyBorder="1"/>
    <xf numFmtId="0" fontId="51" fillId="0" borderId="24" xfId="250" applyFont="1" applyFill="1" applyBorder="1"/>
    <xf numFmtId="0" fontId="3" fillId="0" borderId="30" xfId="250" applyFont="1" applyBorder="1" applyAlignment="1">
      <alignment horizontal="right"/>
    </xf>
    <xf numFmtId="0" fontId="3" fillId="0" borderId="0" xfId="250" applyFont="1" applyBorder="1" applyAlignment="1">
      <alignment horizontal="right"/>
    </xf>
    <xf numFmtId="260" fontId="3" fillId="0" borderId="0" xfId="167" applyNumberFormat="1" applyFont="1" applyBorder="1"/>
    <xf numFmtId="226" fontId="3" fillId="0" borderId="25" xfId="250" applyNumberFormat="1" applyFont="1" applyFill="1" applyBorder="1" applyAlignment="1">
      <alignment horizontal="left"/>
    </xf>
    <xf numFmtId="198" fontId="51" fillId="0" borderId="29" xfId="250" applyNumberFormat="1" applyFont="1" applyFill="1" applyBorder="1"/>
    <xf numFmtId="3" fontId="51" fillId="0" borderId="29" xfId="250" applyNumberFormat="1" applyFont="1" applyBorder="1"/>
    <xf numFmtId="3" fontId="51" fillId="0" borderId="31" xfId="250" applyNumberFormat="1" applyFont="1" applyBorder="1"/>
    <xf numFmtId="3" fontId="3" fillId="0" borderId="30" xfId="250" applyNumberFormat="1" applyFont="1" applyBorder="1"/>
    <xf numFmtId="3" fontId="3" fillId="0" borderId="0" xfId="250" applyNumberFormat="1" applyFont="1" applyBorder="1"/>
    <xf numFmtId="261" fontId="51" fillId="0" borderId="0" xfId="250" applyNumberFormat="1" applyFont="1" applyFill="1" applyBorder="1"/>
    <xf numFmtId="3" fontId="129" fillId="0" borderId="30" xfId="250" applyNumberFormat="1" applyFont="1" applyBorder="1"/>
    <xf numFmtId="3" fontId="129" fillId="0" borderId="0" xfId="250" applyNumberFormat="1" applyFont="1" applyBorder="1"/>
    <xf numFmtId="0" fontId="51" fillId="0" borderId="0" xfId="250" quotePrefix="1" applyFont="1" applyFill="1" applyAlignment="1">
      <alignment horizontal="right"/>
    </xf>
    <xf numFmtId="0" fontId="3" fillId="0" borderId="0" xfId="250" quotePrefix="1" applyFont="1" applyFill="1"/>
    <xf numFmtId="0" fontId="1" fillId="0" borderId="0" xfId="250" applyFont="1" applyBorder="1"/>
    <xf numFmtId="3" fontId="3" fillId="0" borderId="30" xfId="250" applyNumberFormat="1" applyFont="1" applyBorder="1" applyAlignment="1">
      <alignment horizontal="right"/>
    </xf>
    <xf numFmtId="3" fontId="3" fillId="0" borderId="0" xfId="250" applyNumberFormat="1" applyFont="1" applyBorder="1" applyAlignment="1">
      <alignment horizontal="right"/>
    </xf>
    <xf numFmtId="226" fontId="51" fillId="0" borderId="0" xfId="250" applyNumberFormat="1" applyFont="1" applyFill="1" applyBorder="1"/>
    <xf numFmtId="3" fontId="51" fillId="3" borderId="21" xfId="250" applyNumberFormat="1" applyFont="1" applyFill="1" applyBorder="1"/>
    <xf numFmtId="3" fontId="51" fillId="3" borderId="22" xfId="250" applyNumberFormat="1" applyFont="1" applyFill="1" applyBorder="1"/>
    <xf numFmtId="9" fontId="51" fillId="3" borderId="22" xfId="344" applyNumberFormat="1" applyFont="1" applyFill="1" applyBorder="1"/>
    <xf numFmtId="179" fontId="3" fillId="0" borderId="0" xfId="250" applyNumberFormat="1" applyFont="1" applyFill="1" applyBorder="1"/>
    <xf numFmtId="172" fontId="51" fillId="0" borderId="30" xfId="345" applyFont="1" applyFill="1" applyBorder="1" applyAlignment="1">
      <alignment horizontal="right"/>
    </xf>
    <xf numFmtId="0" fontId="51" fillId="0" borderId="25" xfId="250" applyFont="1" applyFill="1" applyBorder="1"/>
    <xf numFmtId="3" fontId="3" fillId="0" borderId="0" xfId="250" applyNumberFormat="1" applyFont="1"/>
    <xf numFmtId="3" fontId="51" fillId="0" borderId="0" xfId="250" applyNumberFormat="1" applyFont="1" applyFill="1" applyBorder="1"/>
    <xf numFmtId="226" fontId="51" fillId="0" borderId="0" xfId="250" applyNumberFormat="1" applyFont="1" applyFill="1" applyBorder="1" applyAlignment="1">
      <alignment horizontal="left"/>
    </xf>
    <xf numFmtId="226" fontId="3" fillId="0" borderId="0" xfId="250" applyNumberFormat="1" applyFont="1" applyFill="1" applyBorder="1"/>
    <xf numFmtId="9" fontId="51" fillId="0" borderId="0" xfId="250" applyNumberFormat="1" applyFont="1" applyFill="1" applyBorder="1"/>
    <xf numFmtId="9" fontId="112" fillId="0" borderId="30" xfId="344" applyNumberFormat="1" applyFont="1" applyFill="1" applyBorder="1" applyAlignment="1">
      <alignment horizontal="right"/>
    </xf>
    <xf numFmtId="9" fontId="112" fillId="0" borderId="0" xfId="344" applyNumberFormat="1" applyFont="1" applyFill="1" applyBorder="1" applyAlignment="1">
      <alignment horizontal="right"/>
    </xf>
    <xf numFmtId="226" fontId="112" fillId="0" borderId="25" xfId="250" applyNumberFormat="1" applyFont="1" applyFill="1" applyBorder="1" applyAlignment="1">
      <alignment horizontal="left"/>
    </xf>
    <xf numFmtId="3" fontId="51" fillId="0" borderId="29" xfId="250" applyNumberFormat="1" applyFont="1" applyFill="1" applyBorder="1"/>
    <xf numFmtId="251" fontId="3" fillId="0" borderId="30" xfId="345" applyNumberFormat="1" applyFont="1" applyFill="1" applyBorder="1"/>
    <xf numFmtId="3" fontId="3" fillId="0" borderId="30" xfId="250" applyNumberFormat="1" applyFont="1" applyFill="1" applyBorder="1"/>
    <xf numFmtId="0" fontId="129" fillId="0" borderId="30" xfId="250" applyFont="1" applyBorder="1"/>
    <xf numFmtId="0" fontId="129" fillId="0" borderId="0" xfId="250" applyFont="1" applyBorder="1"/>
    <xf numFmtId="9" fontId="3" fillId="0" borderId="30" xfId="344" applyFont="1" applyFill="1" applyBorder="1" applyAlignment="1">
      <alignment horizontal="right"/>
    </xf>
    <xf numFmtId="2" fontId="130" fillId="0" borderId="0" xfId="250" applyNumberFormat="1" applyFont="1" applyFill="1" applyAlignment="1">
      <alignment horizontal="center"/>
    </xf>
    <xf numFmtId="3" fontId="3" fillId="0" borderId="30" xfId="166" applyNumberFormat="1" applyFont="1" applyFill="1" applyBorder="1" applyAlignment="1">
      <alignment horizontal="right"/>
    </xf>
    <xf numFmtId="3" fontId="3" fillId="0" borderId="0" xfId="250" applyNumberFormat="1" applyFont="1" applyFill="1" applyBorder="1"/>
    <xf numFmtId="198" fontId="1" fillId="0" borderId="0" xfId="344" applyNumberFormat="1" applyFont="1"/>
    <xf numFmtId="0" fontId="1" fillId="0" borderId="0" xfId="250" applyFont="1" applyFill="1"/>
    <xf numFmtId="14" fontId="9" fillId="0" borderId="0" xfId="253" applyFont="1" applyAlignment="1">
      <alignment horizontal="left"/>
    </xf>
    <xf numFmtId="10" fontId="1" fillId="0" borderId="0" xfId="344" applyNumberFormat="1" applyFont="1" applyFill="1"/>
    <xf numFmtId="172" fontId="1" fillId="0" borderId="0" xfId="250" applyNumberFormat="1" applyFont="1" applyFill="1"/>
    <xf numFmtId="0" fontId="120" fillId="0" borderId="0" xfId="250" applyFont="1" applyFill="1"/>
    <xf numFmtId="172" fontId="9" fillId="4" borderId="0" xfId="250" applyNumberFormat="1" applyFont="1" applyFill="1"/>
    <xf numFmtId="0" fontId="120" fillId="4" borderId="0" xfId="250" applyFont="1" applyFill="1"/>
    <xf numFmtId="198" fontId="3" fillId="11" borderId="0" xfId="595" applyNumberFormat="1" applyFont="1" applyFill="1" applyBorder="1"/>
    <xf numFmtId="10" fontId="3" fillId="11" borderId="0" xfId="595" applyNumberFormat="1" applyFont="1" applyFill="1" applyBorder="1"/>
    <xf numFmtId="252" fontId="3" fillId="11" borderId="0" xfId="595" applyNumberFormat="1" applyFont="1" applyFill="1" applyBorder="1" applyAlignment="1">
      <alignment horizontal="right"/>
    </xf>
    <xf numFmtId="198" fontId="3" fillId="11" borderId="0" xfId="595" applyNumberFormat="1" applyFont="1" applyFill="1" applyBorder="1" applyAlignment="1">
      <alignment horizontal="right" vertical="center"/>
    </xf>
    <xf numFmtId="198" fontId="105" fillId="11" borderId="0" xfId="595" applyNumberFormat="1" applyFont="1" applyFill="1" applyBorder="1" applyAlignment="1">
      <alignment horizontal="right" vertical="center"/>
    </xf>
    <xf numFmtId="198" fontId="3" fillId="11" borderId="0" xfId="595" applyNumberFormat="1" applyFont="1" applyFill="1" applyBorder="1" applyAlignment="1">
      <alignment horizontal="right"/>
    </xf>
    <xf numFmtId="198" fontId="3" fillId="11" borderId="0" xfId="595" applyNumberFormat="1" applyFont="1" applyFill="1"/>
    <xf numFmtId="252" fontId="3" fillId="11" borderId="0" xfId="595" applyNumberFormat="1" applyFont="1" applyFill="1" applyBorder="1"/>
    <xf numFmtId="198" fontId="3" fillId="11" borderId="0" xfId="595" applyNumberFormat="1" applyFont="1" applyFill="1" applyAlignment="1">
      <alignment horizontal="right"/>
    </xf>
    <xf numFmtId="198" fontId="105" fillId="11" borderId="0" xfId="595" applyNumberFormat="1" applyFont="1" applyFill="1" applyBorder="1" applyAlignment="1">
      <alignment horizontal="right"/>
    </xf>
    <xf numFmtId="172" fontId="3" fillId="11" borderId="0" xfId="594" applyFont="1" applyFill="1" applyBorder="1" applyAlignment="1">
      <alignment horizontal="right"/>
    </xf>
    <xf numFmtId="172" fontId="105" fillId="11" borderId="0" xfId="594" applyFont="1" applyFill="1" applyBorder="1" applyAlignment="1">
      <alignment horizontal="right"/>
    </xf>
    <xf numFmtId="172" fontId="3" fillId="11" borderId="0" xfId="594" applyFont="1" applyFill="1" applyAlignment="1">
      <alignment horizontal="right"/>
    </xf>
    <xf numFmtId="172" fontId="3" fillId="11" borderId="0" xfId="594" applyFont="1" applyFill="1"/>
    <xf numFmtId="172" fontId="105" fillId="11" borderId="0" xfId="594" applyFont="1" applyFill="1"/>
    <xf numFmtId="172" fontId="3" fillId="11" borderId="0" xfId="594" applyFont="1" applyFill="1" applyBorder="1"/>
    <xf numFmtId="198" fontId="105" fillId="11" borderId="0" xfId="594" applyNumberFormat="1" applyFont="1" applyFill="1"/>
    <xf numFmtId="251" fontId="105" fillId="0" borderId="0" xfId="343" applyNumberFormat="1" applyFont="1" applyFill="1" applyBorder="1" applyAlignment="1" applyProtection="1">
      <alignment horizontal="right"/>
    </xf>
    <xf numFmtId="172" fontId="105" fillId="0" borderId="0" xfId="345" applyNumberFormat="1" applyFont="1"/>
    <xf numFmtId="172" fontId="3" fillId="0" borderId="30" xfId="345" applyFont="1" applyFill="1" applyBorder="1" applyAlignment="1">
      <alignment horizontal="right"/>
    </xf>
    <xf numFmtId="9" fontId="51" fillId="0" borderId="29" xfId="344" applyFont="1" applyFill="1" applyBorder="1" applyAlignment="1">
      <alignment horizontal="right"/>
    </xf>
    <xf numFmtId="0" fontId="148" fillId="0" borderId="0" xfId="250" applyFont="1"/>
    <xf numFmtId="251" fontId="148" fillId="0" borderId="0" xfId="345" applyNumberFormat="1" applyFont="1"/>
    <xf numFmtId="9" fontId="148" fillId="0" borderId="0" xfId="344" applyFont="1"/>
    <xf numFmtId="0" fontId="148" fillId="0" borderId="0" xfId="255" applyFont="1" applyBorder="1"/>
    <xf numFmtId="172" fontId="148" fillId="0" borderId="0" xfId="345" applyFont="1"/>
    <xf numFmtId="0" fontId="3" fillId="0" borderId="0" xfId="343" applyFont="1"/>
    <xf numFmtId="255" fontId="103" fillId="0" borderId="0" xfId="594" applyNumberFormat="1" applyFont="1"/>
    <xf numFmtId="251" fontId="103" fillId="0" borderId="0" xfId="345" applyNumberFormat="1" applyFont="1" applyFill="1" applyAlignment="1" applyProtection="1">
      <alignment horizontal="left" indent="1"/>
    </xf>
    <xf numFmtId="251" fontId="106" fillId="0" borderId="0" xfId="345" applyNumberFormat="1" applyFont="1" applyFill="1" applyAlignment="1" applyProtection="1">
      <alignment horizontal="left" indent="1"/>
    </xf>
    <xf numFmtId="251" fontId="105" fillId="0" borderId="0" xfId="345" applyNumberFormat="1" applyFont="1" applyFill="1" applyAlignment="1" applyProtection="1">
      <alignment horizontal="left" indent="1"/>
    </xf>
    <xf numFmtId="198" fontId="149" fillId="0" borderId="0" xfId="595" applyNumberFormat="1" applyFont="1" applyFill="1" applyAlignment="1" applyProtection="1">
      <alignment horizontal="right"/>
    </xf>
    <xf numFmtId="251" fontId="3" fillId="27" borderId="0" xfId="345" applyNumberFormat="1" applyFont="1" applyFill="1" applyBorder="1" applyAlignment="1" applyProtection="1">
      <alignment horizontal="right"/>
      <protection locked="0"/>
    </xf>
    <xf numFmtId="0" fontId="117" fillId="0" borderId="0" xfId="253" applyNumberFormat="1" applyFont="1"/>
    <xf numFmtId="198" fontId="105" fillId="0" borderId="0" xfId="595" applyNumberFormat="1" applyFont="1" applyFill="1" applyAlignment="1" applyProtection="1">
      <alignment horizontal="right"/>
    </xf>
    <xf numFmtId="2" fontId="3" fillId="0" borderId="0" xfId="250" applyNumberFormat="1" applyFont="1" applyFill="1" applyAlignment="1">
      <alignment horizontal="center"/>
    </xf>
    <xf numFmtId="0" fontId="3" fillId="0" borderId="0" xfId="250" applyFont="1" applyFill="1" applyAlignment="1">
      <alignment horizontal="left"/>
    </xf>
    <xf numFmtId="0" fontId="3" fillId="0" borderId="0" xfId="250" applyFont="1" applyFill="1" applyAlignment="1">
      <alignment horizontal="center"/>
    </xf>
    <xf numFmtId="198" fontId="3" fillId="0" borderId="30" xfId="344" applyNumberFormat="1" applyFont="1" applyFill="1" applyBorder="1"/>
    <xf numFmtId="172" fontId="3" fillId="0" borderId="30" xfId="167" applyNumberFormat="1" applyFont="1" applyFill="1" applyBorder="1"/>
    <xf numFmtId="0" fontId="3" fillId="0" borderId="30" xfId="250" applyFont="1" applyFill="1" applyBorder="1" applyAlignment="1">
      <alignment horizontal="right"/>
    </xf>
    <xf numFmtId="172" fontId="3" fillId="0" borderId="0" xfId="167" applyNumberFormat="1" applyFont="1" applyFill="1" applyBorder="1"/>
    <xf numFmtId="9" fontId="3" fillId="0" borderId="0" xfId="344" applyNumberFormat="1" applyFont="1" applyFill="1" applyBorder="1"/>
    <xf numFmtId="9" fontId="3" fillId="0" borderId="30" xfId="344" applyFont="1" applyFill="1" applyBorder="1"/>
    <xf numFmtId="198" fontId="3" fillId="0" borderId="30" xfId="250" applyNumberFormat="1" applyFont="1" applyFill="1" applyBorder="1"/>
    <xf numFmtId="198" fontId="3" fillId="0" borderId="29" xfId="250" applyNumberFormat="1" applyFont="1" applyFill="1" applyBorder="1"/>
    <xf numFmtId="0" fontId="150" fillId="2" borderId="0" xfId="3" applyFont="1" applyFill="1" applyBorder="1"/>
    <xf numFmtId="10" fontId="1" fillId="0" borderId="0" xfId="250" applyNumberFormat="1" applyFont="1"/>
    <xf numFmtId="198" fontId="51" fillId="0" borderId="0" xfId="595" applyNumberFormat="1" applyFont="1" applyFill="1" applyAlignment="1" applyProtection="1">
      <alignment horizontal="right"/>
    </xf>
    <xf numFmtId="251" fontId="51" fillId="0" borderId="0" xfId="343" applyNumberFormat="1" applyFont="1" applyFill="1" applyAlignment="1" applyProtection="1">
      <alignment horizontal="right"/>
    </xf>
    <xf numFmtId="0" fontId="3" fillId="0" borderId="0" xfId="343" applyFont="1" applyFill="1" applyAlignment="1" applyProtection="1">
      <alignment horizontal="right"/>
    </xf>
    <xf numFmtId="251" fontId="3" fillId="0" borderId="0" xfId="343" applyNumberFormat="1" applyFont="1" applyFill="1" applyAlignment="1" applyProtection="1"/>
    <xf numFmtId="251" fontId="51" fillId="0" borderId="0" xfId="343" applyNumberFormat="1" applyFont="1" applyFill="1" applyAlignment="1" applyProtection="1"/>
    <xf numFmtId="37" fontId="51" fillId="0" borderId="0" xfId="256" applyNumberFormat="1" applyFont="1" applyBorder="1" applyAlignment="1">
      <alignment horizontal="center"/>
    </xf>
    <xf numFmtId="251" fontId="1" fillId="0" borderId="0" xfId="250" applyNumberFormat="1" applyFont="1"/>
    <xf numFmtId="198" fontId="1" fillId="0" borderId="0" xfId="595" applyNumberFormat="1" applyFont="1"/>
    <xf numFmtId="198" fontId="51" fillId="0" borderId="0" xfId="344" applyNumberFormat="1" applyFont="1"/>
    <xf numFmtId="0" fontId="51" fillId="0" borderId="0" xfId="250" applyFont="1"/>
    <xf numFmtId="198" fontId="105" fillId="11" borderId="0" xfId="344" applyNumberFormat="1" applyFont="1" applyFill="1" applyBorder="1" applyAlignment="1">
      <alignment horizontal="right"/>
    </xf>
    <xf numFmtId="198" fontId="3" fillId="11" borderId="0" xfId="594" applyNumberFormat="1" applyFont="1" applyFill="1"/>
    <xf numFmtId="251" fontId="105" fillId="0" borderId="0" xfId="250" applyNumberFormat="1" applyFont="1"/>
    <xf numFmtId="0" fontId="3" fillId="0" borderId="0" xfId="343" applyFont="1" applyFill="1" applyBorder="1" applyAlignment="1" applyProtection="1">
      <alignment horizontal="right"/>
    </xf>
    <xf numFmtId="251" fontId="51" fillId="23" borderId="3" xfId="343" applyNumberFormat="1" applyFont="1" applyFill="1" applyBorder="1" applyAlignment="1" applyProtection="1"/>
    <xf numFmtId="251" fontId="3" fillId="0" borderId="0" xfId="343" applyNumberFormat="1" applyFont="1" applyFill="1" applyAlignment="1" applyProtection="1">
      <alignment horizontal="left" indent="1"/>
    </xf>
    <xf numFmtId="0" fontId="51" fillId="0" borderId="0" xfId="343" applyFont="1" applyFill="1" applyAlignment="1" applyProtection="1">
      <alignment horizontal="left" indent="1"/>
    </xf>
    <xf numFmtId="251" fontId="3" fillId="0" borderId="0" xfId="345" applyNumberFormat="1" applyFont="1" applyFill="1" applyAlignment="1" applyProtection="1">
      <alignment horizontal="left" indent="1"/>
    </xf>
    <xf numFmtId="172" fontId="3" fillId="0" borderId="0" xfId="345" applyFont="1" applyFill="1" applyAlignment="1" applyProtection="1">
      <alignment horizontal="left" indent="1"/>
    </xf>
    <xf numFmtId="0" fontId="51" fillId="0" borderId="0" xfId="343" applyFont="1" applyFill="1" applyAlignment="1" applyProtection="1"/>
    <xf numFmtId="251" fontId="3" fillId="21" borderId="0" xfId="251" applyNumberFormat="1" applyFont="1" applyFill="1" applyBorder="1"/>
    <xf numFmtId="37" fontId="3" fillId="21" borderId="0" xfId="343" applyNumberFormat="1" applyFont="1" applyFill="1" applyBorder="1"/>
    <xf numFmtId="0" fontId="3" fillId="0" borderId="0" xfId="343" applyFont="1" applyFill="1" applyAlignment="1" applyProtection="1"/>
    <xf numFmtId="251" fontId="51" fillId="0" borderId="0" xfId="343" applyNumberFormat="1" applyFont="1" applyFill="1" applyBorder="1" applyAlignment="1" applyProtection="1"/>
    <xf numFmtId="37" fontId="112" fillId="0" borderId="0" xfId="256" applyNumberFormat="1" applyFont="1" applyBorder="1" applyAlignment="1">
      <alignment horizontal="right"/>
    </xf>
    <xf numFmtId="198" fontId="3" fillId="21" borderId="0" xfId="344" applyNumberFormat="1" applyFont="1" applyFill="1" applyBorder="1"/>
    <xf numFmtId="198" fontId="114" fillId="24" borderId="0" xfId="344" applyNumberFormat="1" applyFont="1" applyFill="1"/>
    <xf numFmtId="198" fontId="115" fillId="21" borderId="0" xfId="344" applyNumberFormat="1" applyFont="1" applyFill="1"/>
    <xf numFmtId="198" fontId="114" fillId="21" borderId="0" xfId="344" applyNumberFormat="1" applyFont="1" applyFill="1"/>
    <xf numFmtId="198" fontId="51" fillId="21" borderId="0" xfId="344" applyNumberFormat="1" applyFont="1" applyFill="1" applyBorder="1"/>
    <xf numFmtId="198" fontId="114" fillId="21" borderId="0" xfId="344" applyNumberFormat="1" applyFont="1" applyFill="1" applyBorder="1"/>
    <xf numFmtId="198" fontId="51" fillId="21" borderId="0" xfId="344" applyNumberFormat="1" applyFont="1" applyFill="1" applyBorder="1" applyAlignment="1">
      <alignment horizontal="left"/>
    </xf>
    <xf numFmtId="251" fontId="3" fillId="0" borderId="0" xfId="250" applyNumberFormat="1" applyFont="1"/>
    <xf numFmtId="172" fontId="3" fillId="0" borderId="30" xfId="345" applyNumberFormat="1" applyFont="1" applyFill="1" applyBorder="1" applyAlignment="1">
      <alignment horizontal="right"/>
    </xf>
    <xf numFmtId="270" fontId="3" fillId="0" borderId="30" xfId="345" applyNumberFormat="1" applyFont="1" applyFill="1" applyBorder="1" applyAlignment="1">
      <alignment horizontal="right"/>
    </xf>
  </cellXfs>
  <cellStyles count="596">
    <cellStyle name=" 1" xfId="5" xr:uid="{00000000-0005-0000-0000-000000000000}"/>
    <cellStyle name="_x000a_386grabber=M" xfId="6" xr:uid="{00000000-0005-0000-0000-000001000000}"/>
    <cellStyle name="$" xfId="7" xr:uid="{00000000-0005-0000-0000-000002000000}"/>
    <cellStyle name="$ 1 decimal" xfId="8" xr:uid="{00000000-0005-0000-0000-000003000000}"/>
    <cellStyle name="$currency" xfId="9" xr:uid="{00000000-0005-0000-0000-000004000000}"/>
    <cellStyle name="_%(SignOnly)" xfId="10" xr:uid="{00000000-0005-0000-0000-000005000000}"/>
    <cellStyle name="_%(SignSpaceOnly)" xfId="11" xr:uid="{00000000-0005-0000-0000-000006000000}"/>
    <cellStyle name="_Balance Sheet" xfId="12" xr:uid="{00000000-0005-0000-0000-000007000000}"/>
    <cellStyle name="_Cash Flow" xfId="13" xr:uid="{00000000-0005-0000-0000-000008000000}"/>
    <cellStyle name="_Comma" xfId="14" xr:uid="{00000000-0005-0000-0000-000009000000}"/>
    <cellStyle name="_Comma_01 adj for merger plan" xfId="346" xr:uid="{00000000-0005-0000-0000-00000A000000}"/>
    <cellStyle name="_Comma_9" xfId="15" xr:uid="{00000000-0005-0000-0000-00000B000000}"/>
    <cellStyle name="_Comma_Ability to Pay Analysis" xfId="347" xr:uid="{00000000-0005-0000-0000-00000C000000}"/>
    <cellStyle name="_Comma_AFL" xfId="348" xr:uid="{00000000-0005-0000-0000-00000D000000}"/>
    <cellStyle name="_Comma_AIZ" xfId="349" xr:uid="{00000000-0005-0000-0000-00000E000000}"/>
    <cellStyle name="_Comma_AIZ04-Quantum2" xfId="350" xr:uid="{00000000-0005-0000-0000-00000F000000}"/>
    <cellStyle name="_Comma_AMP" xfId="351" xr:uid="{00000000-0005-0000-0000-000010000000}"/>
    <cellStyle name="_Comma_Book1" xfId="352" xr:uid="{00000000-0005-0000-0000-000011000000}"/>
    <cellStyle name="_Comma_Book3" xfId="353" xr:uid="{00000000-0005-0000-0000-000012000000}"/>
    <cellStyle name="_Comma_Cantv DCF Scenarios by Avi" xfId="16" xr:uid="{00000000-0005-0000-0000-000013000000}"/>
    <cellStyle name="_Comma_CNO" xfId="354" xr:uid="{00000000-0005-0000-0000-000014000000}"/>
    <cellStyle name="_Comma_CNO04" xfId="355" xr:uid="{00000000-0005-0000-0000-000015000000}"/>
    <cellStyle name="_Comma_Converted Market Structure Template" xfId="17" xr:uid="{00000000-0005-0000-0000-000016000000}"/>
    <cellStyle name="_Comma_DCF" xfId="18" xr:uid="{00000000-0005-0000-0000-000017000000}"/>
    <cellStyle name="_Comma_DCF Alexander Forbes" xfId="356" xr:uid="{00000000-0005-0000-0000-000018000000}"/>
    <cellStyle name="_Comma_Exchanges" xfId="19" xr:uid="{00000000-0005-0000-0000-000019000000}"/>
    <cellStyle name="_Comma_fmbi counties" xfId="357" xr:uid="{00000000-0005-0000-0000-00001A000000}"/>
    <cellStyle name="_Comma_FMBI MBHI Graphs" xfId="358" xr:uid="{00000000-0005-0000-0000-00001B000000}"/>
    <cellStyle name="_Comma_FMBI MBHI Graphs 07102001" xfId="359" xr:uid="{00000000-0005-0000-0000-00001C000000}"/>
    <cellStyle name="_Comma_FMBI MBHI Graphs_7601" xfId="360" xr:uid="{00000000-0005-0000-0000-00001D000000}"/>
    <cellStyle name="_Comma_genworth model" xfId="361" xr:uid="{00000000-0005-0000-0000-00001E000000}"/>
    <cellStyle name="_Comma_Insurance Brokerage CSC_1Q2002" xfId="362" xr:uid="{00000000-0005-0000-0000-00001F000000}"/>
    <cellStyle name="_Comma_JP_LNC_spread_monitor (2)" xfId="363" xr:uid="{00000000-0005-0000-0000-000020000000}"/>
    <cellStyle name="_Comma_NFP" xfId="364" xr:uid="{00000000-0005-0000-0000-000021000000}"/>
    <cellStyle name="_Comma_NFS" xfId="365" xr:uid="{00000000-0005-0000-0000-000022000000}"/>
    <cellStyle name="_Comma_Overview3" xfId="366" xr:uid="{00000000-0005-0000-0000-000023000000}"/>
    <cellStyle name="_Comma_phil data" xfId="367" xr:uid="{00000000-0005-0000-0000-000024000000}"/>
    <cellStyle name="_Comma_Price Performance Charts" xfId="368" xr:uid="{00000000-0005-0000-0000-000025000000}"/>
    <cellStyle name="_Comma_Quarterly Review by Company" xfId="369" xr:uid="{00000000-0005-0000-0000-000026000000}"/>
    <cellStyle name="_Comma_SFG Data File" xfId="370" xr:uid="{00000000-0005-0000-0000-000027000000}"/>
    <cellStyle name="_Comma_Sheet1" xfId="20" xr:uid="{00000000-0005-0000-0000-000028000000}"/>
    <cellStyle name="_Comma_Stock-QTR1 FDS" xfId="371" xr:uid="{00000000-0005-0000-0000-000029000000}"/>
    <cellStyle name="_Comma_Updated Valuation Changes" xfId="372" xr:uid="{00000000-0005-0000-0000-00002A000000}"/>
    <cellStyle name="_Comma_Valuation Graphs" xfId="373" xr:uid="{00000000-0005-0000-0000-00002B000000}"/>
    <cellStyle name="_Comma_xratio - historical mkt val" xfId="374" xr:uid="{00000000-0005-0000-0000-00002C000000}"/>
    <cellStyle name="_Currency" xfId="21" xr:uid="{00000000-0005-0000-0000-00002D000000}"/>
    <cellStyle name="_Currency_01 adj for merger plan" xfId="375" xr:uid="{00000000-0005-0000-0000-00002E000000}"/>
    <cellStyle name="_Currency_Ability to Pay Analysis" xfId="376" xr:uid="{00000000-0005-0000-0000-00002F000000}"/>
    <cellStyle name="_Currency_AFL" xfId="377" xr:uid="{00000000-0005-0000-0000-000030000000}"/>
    <cellStyle name="_Currency_AIZ" xfId="378" xr:uid="{00000000-0005-0000-0000-000031000000}"/>
    <cellStyle name="_Currency_AMP" xfId="379" xr:uid="{00000000-0005-0000-0000-000032000000}"/>
    <cellStyle name="_Currency_Balance Sheet" xfId="380" xr:uid="{00000000-0005-0000-0000-000033000000}"/>
    <cellStyle name="_Currency_Book1" xfId="381" xr:uid="{00000000-0005-0000-0000-000034000000}"/>
    <cellStyle name="_Currency_Book29" xfId="382" xr:uid="{00000000-0005-0000-0000-000035000000}"/>
    <cellStyle name="_Currency_Book3" xfId="383" xr:uid="{00000000-0005-0000-0000-000036000000}"/>
    <cellStyle name="_Currency_Book3_1" xfId="384" xr:uid="{00000000-0005-0000-0000-000037000000}"/>
    <cellStyle name="_Currency_Cantv DCF Scenarios by Avi" xfId="22" xr:uid="{00000000-0005-0000-0000-000038000000}"/>
    <cellStyle name="_Currency_Cash Flow" xfId="23" xr:uid="{00000000-0005-0000-0000-000039000000}"/>
    <cellStyle name="_Currency_CNO" xfId="385" xr:uid="{00000000-0005-0000-0000-00003A000000}"/>
    <cellStyle name="_Currency_DCF" xfId="24" xr:uid="{00000000-0005-0000-0000-00003B000000}"/>
    <cellStyle name="_Currency_DCF Alexander Forbes" xfId="386" xr:uid="{00000000-0005-0000-0000-00003C000000}"/>
    <cellStyle name="_Currency_Financials" xfId="25" xr:uid="{00000000-0005-0000-0000-00003D000000}"/>
    <cellStyle name="_Currency_fmbi counties" xfId="387" xr:uid="{00000000-0005-0000-0000-00003E000000}"/>
    <cellStyle name="_Currency_FMBI MBHI Graphs" xfId="388" xr:uid="{00000000-0005-0000-0000-00003F000000}"/>
    <cellStyle name="_Currency_FMBI MBHI Graphs 07102001" xfId="389" xr:uid="{00000000-0005-0000-0000-000040000000}"/>
    <cellStyle name="_Currency_FMBI MBHI Graphs_7601" xfId="390" xr:uid="{00000000-0005-0000-0000-000041000000}"/>
    <cellStyle name="_Currency_Gafisa Model 2007-07-08 (Updating wit 2Q07)" xfId="26" xr:uid="{00000000-0005-0000-0000-000042000000}"/>
    <cellStyle name="_Currency_Gafisa Model Oct-31" xfId="27" xr:uid="{00000000-0005-0000-0000-000043000000}"/>
    <cellStyle name="_Currency_GNW" xfId="391" xr:uid="{00000000-0005-0000-0000-000044000000}"/>
    <cellStyle name="_Currency_Insurance Brokerage CSC_1Q2002" xfId="392" xr:uid="{00000000-0005-0000-0000-000045000000}"/>
    <cellStyle name="_Currency_JP" xfId="393" xr:uid="{00000000-0005-0000-0000-000046000000}"/>
    <cellStyle name="_Currency_Lazard model" xfId="28" xr:uid="{00000000-0005-0000-0000-000047000000}"/>
    <cellStyle name="_Currency_LNC" xfId="394" xr:uid="{00000000-0005-0000-0000-000048000000}"/>
    <cellStyle name="_Currency_Merchant banking new" xfId="29" xr:uid="{00000000-0005-0000-0000-000049000000}"/>
    <cellStyle name="_Currency_MET" xfId="395" xr:uid="{00000000-0005-0000-0000-00004A000000}"/>
    <cellStyle name="_Currency_MET04" xfId="396" xr:uid="{00000000-0005-0000-0000-00004B000000}"/>
    <cellStyle name="_Currency_NFS" xfId="397" xr:uid="{00000000-0005-0000-0000-00004C000000}"/>
    <cellStyle name="_Currency_Operations" xfId="30" xr:uid="{00000000-0005-0000-0000-00004D000000}"/>
    <cellStyle name="_Currency_Overview3" xfId="398" xr:uid="{00000000-0005-0000-0000-00004E000000}"/>
    <cellStyle name="_Currency_phil data" xfId="399" xr:uid="{00000000-0005-0000-0000-00004F000000}"/>
    <cellStyle name="_Currency_Price Performance Charts" xfId="400" xr:uid="{00000000-0005-0000-0000-000050000000}"/>
    <cellStyle name="_Currency_PRU" xfId="401" xr:uid="{00000000-0005-0000-0000-000051000000}"/>
    <cellStyle name="_Currency_PRU04" xfId="402" xr:uid="{00000000-0005-0000-0000-000052000000}"/>
    <cellStyle name="_Currency_QP_XXX" xfId="31" xr:uid="{00000000-0005-0000-0000-000053000000}"/>
    <cellStyle name="_Currency_RiskReward" xfId="403" xr:uid="{00000000-0005-0000-0000-000054000000}"/>
    <cellStyle name="_Currency_SFG" xfId="404" xr:uid="{00000000-0005-0000-0000-000055000000}"/>
    <cellStyle name="_Currency_Sheet1" xfId="405" xr:uid="{00000000-0005-0000-0000-000056000000}"/>
    <cellStyle name="_Currency_Stock-QTR1 FDS" xfId="406" xr:uid="{00000000-0005-0000-0000-000057000000}"/>
    <cellStyle name="_Currency_TMK" xfId="407" xr:uid="{00000000-0005-0000-0000-000058000000}"/>
    <cellStyle name="_Currency_Updated Valuation Changes" xfId="408" xr:uid="{00000000-0005-0000-0000-000059000000}"/>
    <cellStyle name="_Currency_Valuation Graphs" xfId="409" xr:uid="{00000000-0005-0000-0000-00005A000000}"/>
    <cellStyle name="_Currency_xratio - historical mkt val" xfId="410" xr:uid="{00000000-0005-0000-0000-00005B000000}"/>
    <cellStyle name="_CurrencySpace" xfId="32" xr:uid="{00000000-0005-0000-0000-00005C000000}"/>
    <cellStyle name="_CurrencySpace_01 adj for merger plan" xfId="411" xr:uid="{00000000-0005-0000-0000-00005D000000}"/>
    <cellStyle name="_CurrencySpace_Ability to Pay Analysis" xfId="412" xr:uid="{00000000-0005-0000-0000-00005E000000}"/>
    <cellStyle name="_CurrencySpace_AFL" xfId="413" xr:uid="{00000000-0005-0000-0000-00005F000000}"/>
    <cellStyle name="_CurrencySpace_AIZ" xfId="414" xr:uid="{00000000-0005-0000-0000-000060000000}"/>
    <cellStyle name="_CurrencySpace_AMP" xfId="415" xr:uid="{00000000-0005-0000-0000-000061000000}"/>
    <cellStyle name="_CurrencySpace_Balance Sheet" xfId="416" xr:uid="{00000000-0005-0000-0000-000062000000}"/>
    <cellStyle name="_CurrencySpace_Book1" xfId="417" xr:uid="{00000000-0005-0000-0000-000063000000}"/>
    <cellStyle name="_CurrencySpace_Book29" xfId="418" xr:uid="{00000000-0005-0000-0000-000064000000}"/>
    <cellStyle name="_CurrencySpace_Book3" xfId="419" xr:uid="{00000000-0005-0000-0000-000065000000}"/>
    <cellStyle name="_CurrencySpace_Book3_1" xfId="420" xr:uid="{00000000-0005-0000-0000-000066000000}"/>
    <cellStyle name="_CurrencySpace_Cantv DCF Scenarios by Avi" xfId="33" xr:uid="{00000000-0005-0000-0000-000067000000}"/>
    <cellStyle name="_CurrencySpace_CNO" xfId="421" xr:uid="{00000000-0005-0000-0000-000068000000}"/>
    <cellStyle name="_CurrencySpace_DCF" xfId="34" xr:uid="{00000000-0005-0000-0000-000069000000}"/>
    <cellStyle name="_CurrencySpace_DCF Alexander Forbes" xfId="422" xr:uid="{00000000-0005-0000-0000-00006A000000}"/>
    <cellStyle name="_CurrencySpace_fmbi counties" xfId="423" xr:uid="{00000000-0005-0000-0000-00006B000000}"/>
    <cellStyle name="_CurrencySpace_FMBI MBHI Graphs" xfId="424" xr:uid="{00000000-0005-0000-0000-00006C000000}"/>
    <cellStyle name="_CurrencySpace_FMBI MBHI Graphs 07102001" xfId="425" xr:uid="{00000000-0005-0000-0000-00006D000000}"/>
    <cellStyle name="_CurrencySpace_FMBI MBHI Graphs_7601" xfId="426" xr:uid="{00000000-0005-0000-0000-00006E000000}"/>
    <cellStyle name="_CurrencySpace_GNW" xfId="427" xr:uid="{00000000-0005-0000-0000-00006F000000}"/>
    <cellStyle name="_CurrencySpace_Insurance Brokerage CSC_1Q2002" xfId="428" xr:uid="{00000000-0005-0000-0000-000070000000}"/>
    <cellStyle name="_CurrencySpace_JP" xfId="429" xr:uid="{00000000-0005-0000-0000-000071000000}"/>
    <cellStyle name="_CurrencySpace_Lazard model" xfId="35" xr:uid="{00000000-0005-0000-0000-000072000000}"/>
    <cellStyle name="_CurrencySpace_LNC" xfId="430" xr:uid="{00000000-0005-0000-0000-000073000000}"/>
    <cellStyle name="_CurrencySpace_Merchant banking new" xfId="36" xr:uid="{00000000-0005-0000-0000-000074000000}"/>
    <cellStyle name="_CurrencySpace_MET" xfId="431" xr:uid="{00000000-0005-0000-0000-000075000000}"/>
    <cellStyle name="_CurrencySpace_MET04" xfId="432" xr:uid="{00000000-0005-0000-0000-000076000000}"/>
    <cellStyle name="_CurrencySpace_NFS" xfId="433" xr:uid="{00000000-0005-0000-0000-000077000000}"/>
    <cellStyle name="_CurrencySpace_Overview3" xfId="434" xr:uid="{00000000-0005-0000-0000-000078000000}"/>
    <cellStyle name="_CurrencySpace_phil data" xfId="435" xr:uid="{00000000-0005-0000-0000-000079000000}"/>
    <cellStyle name="_CurrencySpace_Price Performance Charts" xfId="436" xr:uid="{00000000-0005-0000-0000-00007A000000}"/>
    <cellStyle name="_CurrencySpace_PRU" xfId="437" xr:uid="{00000000-0005-0000-0000-00007B000000}"/>
    <cellStyle name="_CurrencySpace_PRU04" xfId="438" xr:uid="{00000000-0005-0000-0000-00007C000000}"/>
    <cellStyle name="_CurrencySpace_RiskReward" xfId="439" xr:uid="{00000000-0005-0000-0000-00007D000000}"/>
    <cellStyle name="_CurrencySpace_SFG" xfId="440" xr:uid="{00000000-0005-0000-0000-00007E000000}"/>
    <cellStyle name="_CurrencySpace_Sheet1" xfId="441" xr:uid="{00000000-0005-0000-0000-00007F000000}"/>
    <cellStyle name="_CurrencySpace_Stock-QTR1 FDS" xfId="442" xr:uid="{00000000-0005-0000-0000-000080000000}"/>
    <cellStyle name="_CurrencySpace_TMK" xfId="443" xr:uid="{00000000-0005-0000-0000-000081000000}"/>
    <cellStyle name="_CurrencySpace_Updated Valuation Changes" xfId="444" xr:uid="{00000000-0005-0000-0000-000082000000}"/>
    <cellStyle name="_CurrencySpace_Valuation Graphs" xfId="445" xr:uid="{00000000-0005-0000-0000-000083000000}"/>
    <cellStyle name="_CurrencySpace_xratio - historical mkt val" xfId="446" xr:uid="{00000000-0005-0000-0000-000084000000}"/>
    <cellStyle name="_DCF" xfId="37" xr:uid="{00000000-0005-0000-0000-000085000000}"/>
    <cellStyle name="_Dollar" xfId="447" xr:uid="{00000000-0005-0000-0000-000086000000}"/>
    <cellStyle name="_Euro" xfId="38" xr:uid="{00000000-0005-0000-0000-000087000000}"/>
    <cellStyle name="_Financials" xfId="39" xr:uid="{00000000-0005-0000-0000-000088000000}"/>
    <cellStyle name="_Gafisa Model 2007-07-08 (Updating wit 2Q07)" xfId="40" xr:uid="{00000000-0005-0000-0000-000089000000}"/>
    <cellStyle name="_Gafisa Model Oct-31" xfId="41" xr:uid="{00000000-0005-0000-0000-00008A000000}"/>
    <cellStyle name="_Heading" xfId="42" xr:uid="{00000000-0005-0000-0000-00008B000000}"/>
    <cellStyle name="_Heading_Cantv DCF Scenarios by Avi" xfId="4" xr:uid="{00000000-0005-0000-0000-00008C000000}"/>
    <cellStyle name="_Heading_Cash Flow" xfId="43" xr:uid="{00000000-0005-0000-0000-00008D000000}"/>
    <cellStyle name="_Heading_Financials" xfId="44" xr:uid="{00000000-0005-0000-0000-00008E000000}"/>
    <cellStyle name="_Heading_Gafisa Model 2007-07-08 (Updating wit 2Q07)" xfId="45" xr:uid="{00000000-0005-0000-0000-00008F000000}"/>
    <cellStyle name="_Heading_Gafisa Model Oct-31" xfId="46" xr:uid="{00000000-0005-0000-0000-000090000000}"/>
    <cellStyle name="_Heading_Operations" xfId="47" xr:uid="{00000000-0005-0000-0000-000091000000}"/>
    <cellStyle name="_Heading_prestemp" xfId="448" xr:uid="{00000000-0005-0000-0000-000092000000}"/>
    <cellStyle name="_Heading_QP_XXX" xfId="48" xr:uid="{00000000-0005-0000-0000-000093000000}"/>
    <cellStyle name="_Highlight" xfId="49" xr:uid="{00000000-0005-0000-0000-000094000000}"/>
    <cellStyle name="_Multiple" xfId="50" xr:uid="{00000000-0005-0000-0000-000095000000}"/>
    <cellStyle name="_Multiple_01 adj for merger plan" xfId="449" xr:uid="{00000000-0005-0000-0000-000096000000}"/>
    <cellStyle name="_Multiple_9" xfId="51" xr:uid="{00000000-0005-0000-0000-000097000000}"/>
    <cellStyle name="_Multiple_Ability to Pay Analysis" xfId="450" xr:uid="{00000000-0005-0000-0000-000098000000}"/>
    <cellStyle name="_Multiple_AFL" xfId="451" xr:uid="{00000000-0005-0000-0000-000099000000}"/>
    <cellStyle name="_Multiple_AIZ" xfId="452" xr:uid="{00000000-0005-0000-0000-00009A000000}"/>
    <cellStyle name="_Multiple_AMP" xfId="453" xr:uid="{00000000-0005-0000-0000-00009B000000}"/>
    <cellStyle name="_Multiple_Balance Sheet" xfId="454" xr:uid="{00000000-0005-0000-0000-00009C000000}"/>
    <cellStyle name="_Multiple_Book1" xfId="455" xr:uid="{00000000-0005-0000-0000-00009D000000}"/>
    <cellStyle name="_Multiple_Book29" xfId="456" xr:uid="{00000000-0005-0000-0000-00009E000000}"/>
    <cellStyle name="_Multiple_Book3" xfId="457" xr:uid="{00000000-0005-0000-0000-00009F000000}"/>
    <cellStyle name="_Multiple_Book3_1" xfId="458" xr:uid="{00000000-0005-0000-0000-0000A0000000}"/>
    <cellStyle name="_Multiple_Cantv DCF Scenarios by Avi" xfId="52" xr:uid="{00000000-0005-0000-0000-0000A1000000}"/>
    <cellStyle name="_Multiple_CNO" xfId="459" xr:uid="{00000000-0005-0000-0000-0000A2000000}"/>
    <cellStyle name="_Multiple_Converted Market Structure Template" xfId="53" xr:uid="{00000000-0005-0000-0000-0000A3000000}"/>
    <cellStyle name="_Multiple_DCF" xfId="54" xr:uid="{00000000-0005-0000-0000-0000A4000000}"/>
    <cellStyle name="_Multiple_DCF Alexander Forbes" xfId="460" xr:uid="{00000000-0005-0000-0000-0000A5000000}"/>
    <cellStyle name="_Multiple_Exchanges" xfId="55" xr:uid="{00000000-0005-0000-0000-0000A6000000}"/>
    <cellStyle name="_Multiple_fmbi counties" xfId="461" xr:uid="{00000000-0005-0000-0000-0000A7000000}"/>
    <cellStyle name="_Multiple_FMBI MBHI Graphs" xfId="462" xr:uid="{00000000-0005-0000-0000-0000A8000000}"/>
    <cellStyle name="_Multiple_FMBI MBHI Graphs 07102001" xfId="463" xr:uid="{00000000-0005-0000-0000-0000A9000000}"/>
    <cellStyle name="_Multiple_FMBI MBHI Graphs_7601" xfId="464" xr:uid="{00000000-0005-0000-0000-0000AA000000}"/>
    <cellStyle name="_Multiple_GNW" xfId="465" xr:uid="{00000000-0005-0000-0000-0000AB000000}"/>
    <cellStyle name="_Multiple_Insurance Brokerage CSC_1Q2002" xfId="466" xr:uid="{00000000-0005-0000-0000-0000AC000000}"/>
    <cellStyle name="_Multiple_JP" xfId="467" xr:uid="{00000000-0005-0000-0000-0000AD000000}"/>
    <cellStyle name="_Multiple_LNC" xfId="468" xr:uid="{00000000-0005-0000-0000-0000AE000000}"/>
    <cellStyle name="_Multiple_MET" xfId="469" xr:uid="{00000000-0005-0000-0000-0000AF000000}"/>
    <cellStyle name="_Multiple_MET04" xfId="470" xr:uid="{00000000-0005-0000-0000-0000B0000000}"/>
    <cellStyle name="_Multiple_NFS" xfId="471" xr:uid="{00000000-0005-0000-0000-0000B1000000}"/>
    <cellStyle name="_Multiple_Overview3" xfId="472" xr:uid="{00000000-0005-0000-0000-0000B2000000}"/>
    <cellStyle name="_Multiple_phil data" xfId="473" xr:uid="{00000000-0005-0000-0000-0000B3000000}"/>
    <cellStyle name="_Multiple_Price Performance Charts" xfId="474" xr:uid="{00000000-0005-0000-0000-0000B4000000}"/>
    <cellStyle name="_Multiple_PRU" xfId="475" xr:uid="{00000000-0005-0000-0000-0000B5000000}"/>
    <cellStyle name="_Multiple_PRU04" xfId="476" xr:uid="{00000000-0005-0000-0000-0000B6000000}"/>
    <cellStyle name="_Multiple_RiskReward" xfId="477" xr:uid="{00000000-0005-0000-0000-0000B7000000}"/>
    <cellStyle name="_Multiple_SFG" xfId="478" xr:uid="{00000000-0005-0000-0000-0000B8000000}"/>
    <cellStyle name="_Multiple_Sheet1" xfId="56" xr:uid="{00000000-0005-0000-0000-0000B9000000}"/>
    <cellStyle name="_Multiple_Stock-QTR1 FDS" xfId="479" xr:uid="{00000000-0005-0000-0000-0000BA000000}"/>
    <cellStyle name="_Multiple_TMK" xfId="480" xr:uid="{00000000-0005-0000-0000-0000BB000000}"/>
    <cellStyle name="_Multiple_Updated Valuation Changes" xfId="481" xr:uid="{00000000-0005-0000-0000-0000BC000000}"/>
    <cellStyle name="_Multiple_Valuation Graphs" xfId="482" xr:uid="{00000000-0005-0000-0000-0000BD000000}"/>
    <cellStyle name="_Multiple_xratio - historical mkt val" xfId="483" xr:uid="{00000000-0005-0000-0000-0000BE000000}"/>
    <cellStyle name="_MultipleSpace" xfId="57" xr:uid="{00000000-0005-0000-0000-0000BF000000}"/>
    <cellStyle name="_MultipleSpace_01 adj for merger plan" xfId="484" xr:uid="{00000000-0005-0000-0000-0000C0000000}"/>
    <cellStyle name="_MultipleSpace_9" xfId="58" xr:uid="{00000000-0005-0000-0000-0000C1000000}"/>
    <cellStyle name="_MultipleSpace_Ability to Pay Analysis" xfId="485" xr:uid="{00000000-0005-0000-0000-0000C2000000}"/>
    <cellStyle name="_MultipleSpace_AFL" xfId="486" xr:uid="{00000000-0005-0000-0000-0000C3000000}"/>
    <cellStyle name="_MultipleSpace_AIZ" xfId="487" xr:uid="{00000000-0005-0000-0000-0000C4000000}"/>
    <cellStyle name="_MultipleSpace_AMP" xfId="488" xr:uid="{00000000-0005-0000-0000-0000C5000000}"/>
    <cellStyle name="_MultipleSpace_Balance Sheet" xfId="489" xr:uid="{00000000-0005-0000-0000-0000C6000000}"/>
    <cellStyle name="_MultipleSpace_Book1" xfId="490" xr:uid="{00000000-0005-0000-0000-0000C7000000}"/>
    <cellStyle name="_MultipleSpace_Book29" xfId="491" xr:uid="{00000000-0005-0000-0000-0000C8000000}"/>
    <cellStyle name="_MultipleSpace_Book3" xfId="492" xr:uid="{00000000-0005-0000-0000-0000C9000000}"/>
    <cellStyle name="_MultipleSpace_Book3_1" xfId="493" xr:uid="{00000000-0005-0000-0000-0000CA000000}"/>
    <cellStyle name="_MultipleSpace_Cantv DCF Scenarios by Avi" xfId="59" xr:uid="{00000000-0005-0000-0000-0000CB000000}"/>
    <cellStyle name="_MultipleSpace_CNO" xfId="494" xr:uid="{00000000-0005-0000-0000-0000CC000000}"/>
    <cellStyle name="_MultipleSpace_Converted Market Structure Template" xfId="60" xr:uid="{00000000-0005-0000-0000-0000CD000000}"/>
    <cellStyle name="_MultipleSpace_DCF" xfId="61" xr:uid="{00000000-0005-0000-0000-0000CE000000}"/>
    <cellStyle name="_MultipleSpace_DCF Alexander Forbes" xfId="495" xr:uid="{00000000-0005-0000-0000-0000CF000000}"/>
    <cellStyle name="_MultipleSpace_Exchanges" xfId="62" xr:uid="{00000000-0005-0000-0000-0000D0000000}"/>
    <cellStyle name="_MultipleSpace_fmbi counties" xfId="496" xr:uid="{00000000-0005-0000-0000-0000D1000000}"/>
    <cellStyle name="_MultipleSpace_FMBI MBHI Graphs" xfId="497" xr:uid="{00000000-0005-0000-0000-0000D2000000}"/>
    <cellStyle name="_MultipleSpace_FMBI MBHI Graphs 07102001" xfId="498" xr:uid="{00000000-0005-0000-0000-0000D3000000}"/>
    <cellStyle name="_MultipleSpace_FMBI MBHI Graphs_7601" xfId="499" xr:uid="{00000000-0005-0000-0000-0000D4000000}"/>
    <cellStyle name="_MultipleSpace_GNW" xfId="500" xr:uid="{00000000-0005-0000-0000-0000D5000000}"/>
    <cellStyle name="_MultipleSpace_Insurance Brokerage CSC_1Q2002" xfId="501" xr:uid="{00000000-0005-0000-0000-0000D6000000}"/>
    <cellStyle name="_MultipleSpace_JP" xfId="502" xr:uid="{00000000-0005-0000-0000-0000D7000000}"/>
    <cellStyle name="_MultipleSpace_LNC" xfId="503" xr:uid="{00000000-0005-0000-0000-0000D8000000}"/>
    <cellStyle name="_MultipleSpace_MET" xfId="504" xr:uid="{00000000-0005-0000-0000-0000D9000000}"/>
    <cellStyle name="_MultipleSpace_MET04" xfId="505" xr:uid="{00000000-0005-0000-0000-0000DA000000}"/>
    <cellStyle name="_MultipleSpace_NFS" xfId="506" xr:uid="{00000000-0005-0000-0000-0000DB000000}"/>
    <cellStyle name="_MultipleSpace_Overview3" xfId="507" xr:uid="{00000000-0005-0000-0000-0000DC000000}"/>
    <cellStyle name="_MultipleSpace_phil data" xfId="508" xr:uid="{00000000-0005-0000-0000-0000DD000000}"/>
    <cellStyle name="_MultipleSpace_Price Performance Charts" xfId="509" xr:uid="{00000000-0005-0000-0000-0000DE000000}"/>
    <cellStyle name="_MultipleSpace_PRU" xfId="510" xr:uid="{00000000-0005-0000-0000-0000DF000000}"/>
    <cellStyle name="_MultipleSpace_PRU04" xfId="511" xr:uid="{00000000-0005-0000-0000-0000E0000000}"/>
    <cellStyle name="_MultipleSpace_RiskReward" xfId="512" xr:uid="{00000000-0005-0000-0000-0000E1000000}"/>
    <cellStyle name="_MultipleSpace_SFG" xfId="513" xr:uid="{00000000-0005-0000-0000-0000E2000000}"/>
    <cellStyle name="_MultipleSpace_Sheet1" xfId="63" xr:uid="{00000000-0005-0000-0000-0000E3000000}"/>
    <cellStyle name="_MultipleSpace_Stock-QTR1 FDS" xfId="514" xr:uid="{00000000-0005-0000-0000-0000E4000000}"/>
    <cellStyle name="_MultipleSpace_TMK" xfId="515" xr:uid="{00000000-0005-0000-0000-0000E5000000}"/>
    <cellStyle name="_MultipleSpace_Updated Valuation Changes" xfId="516" xr:uid="{00000000-0005-0000-0000-0000E6000000}"/>
    <cellStyle name="_MultipleSpace_Valuation Graphs" xfId="517" xr:uid="{00000000-0005-0000-0000-0000E7000000}"/>
    <cellStyle name="_MultipleSpace_xratio - historical mkt val" xfId="518" xr:uid="{00000000-0005-0000-0000-0000E8000000}"/>
    <cellStyle name="_Operations" xfId="64" xr:uid="{00000000-0005-0000-0000-0000E9000000}"/>
    <cellStyle name="_Percent" xfId="65" xr:uid="{00000000-0005-0000-0000-0000EA000000}"/>
    <cellStyle name="_Percent_DCF Alexander Forbes" xfId="519" xr:uid="{00000000-0005-0000-0000-0000EB000000}"/>
    <cellStyle name="_Percent_FMBI MBHI Graphs" xfId="520" xr:uid="{00000000-0005-0000-0000-0000EC000000}"/>
    <cellStyle name="_Percent_FMBI MBHI Graphs 07102001" xfId="521" xr:uid="{00000000-0005-0000-0000-0000ED000000}"/>
    <cellStyle name="_Percent_FMBI MBHI Graphs_7601" xfId="522" xr:uid="{00000000-0005-0000-0000-0000EE000000}"/>
    <cellStyle name="_PercentSpace" xfId="66" xr:uid="{00000000-0005-0000-0000-0000EF000000}"/>
    <cellStyle name="_PercentSpace_01 adj for merger plan" xfId="523" xr:uid="{00000000-0005-0000-0000-0000F0000000}"/>
    <cellStyle name="_PercentSpace_DCF Alexander Forbes" xfId="524" xr:uid="{00000000-0005-0000-0000-0000F1000000}"/>
    <cellStyle name="_PercentSpace_FMBI MBHI Graphs" xfId="525" xr:uid="{00000000-0005-0000-0000-0000F2000000}"/>
    <cellStyle name="_PercentSpace_FMBI MBHI Graphs 07102001" xfId="526" xr:uid="{00000000-0005-0000-0000-0000F3000000}"/>
    <cellStyle name="_PercentSpace_FMBI MBHI Graphs_7601" xfId="527" xr:uid="{00000000-0005-0000-0000-0000F4000000}"/>
    <cellStyle name="_QP_XXX" xfId="67" xr:uid="{00000000-0005-0000-0000-0000F5000000}"/>
    <cellStyle name="_SubHeading" xfId="68" xr:uid="{00000000-0005-0000-0000-0000F6000000}"/>
    <cellStyle name="_SubHeading_Ability to Pay Analysis" xfId="528" xr:uid="{00000000-0005-0000-0000-0000F7000000}"/>
    <cellStyle name="_SubHeading_BankUnited Model" xfId="529" xr:uid="{00000000-0005-0000-0000-0000F8000000}"/>
    <cellStyle name="_SubHeading_Cantv DCF Scenarios by Avi" xfId="69" xr:uid="{00000000-0005-0000-0000-0000F9000000}"/>
    <cellStyle name="_SubHeading_Cash Flow" xfId="70" xr:uid="{00000000-0005-0000-0000-0000FA000000}"/>
    <cellStyle name="_SubHeading_Financials" xfId="71" xr:uid="{00000000-0005-0000-0000-0000FB000000}"/>
    <cellStyle name="_SubHeading_fmbi counties" xfId="530" xr:uid="{00000000-0005-0000-0000-0000FC000000}"/>
    <cellStyle name="_SubHeading_FMBI MBHI Graphs" xfId="531" xr:uid="{00000000-0005-0000-0000-0000FD000000}"/>
    <cellStyle name="_SubHeading_FMBI MBHI Graphs 07102001" xfId="532" xr:uid="{00000000-0005-0000-0000-0000FE000000}"/>
    <cellStyle name="_SubHeading_FMBI MBHI Graphs_7601" xfId="533" xr:uid="{00000000-0005-0000-0000-0000FF000000}"/>
    <cellStyle name="_SubHeading_Gafisa Model 2007-07-08 (Updating wit 2Q07)" xfId="72" xr:uid="{00000000-0005-0000-0000-000000010000}"/>
    <cellStyle name="_SubHeading_Gafisa Model Oct-31" xfId="73" xr:uid="{00000000-0005-0000-0000-000001010000}"/>
    <cellStyle name="_SubHeading_Operations" xfId="74" xr:uid="{00000000-0005-0000-0000-000002010000}"/>
    <cellStyle name="_SubHeading_prestemp" xfId="534" xr:uid="{00000000-0005-0000-0000-000003010000}"/>
    <cellStyle name="_SubHeading_prestemp_Insurance Brokerage CSC_1Q2002" xfId="535" xr:uid="{00000000-0005-0000-0000-000004010000}"/>
    <cellStyle name="_SubHeading_prestemp_Overview3" xfId="536" xr:uid="{00000000-0005-0000-0000-000005010000}"/>
    <cellStyle name="_SubHeading_prestemp_Updated Valuation Changes" xfId="537" xr:uid="{00000000-0005-0000-0000-000006010000}"/>
    <cellStyle name="_SubHeading_QP_XXX" xfId="75" xr:uid="{00000000-0005-0000-0000-000007010000}"/>
    <cellStyle name="_SubHeading_xratio - historical mkt val" xfId="538" xr:uid="{00000000-0005-0000-0000-000008010000}"/>
    <cellStyle name="_Table" xfId="76" xr:uid="{00000000-0005-0000-0000-000009010000}"/>
    <cellStyle name="_Table_Ability to Pay Analysis" xfId="539" xr:uid="{00000000-0005-0000-0000-00000A010000}"/>
    <cellStyle name="_Table_BankUnited Model" xfId="540" xr:uid="{00000000-0005-0000-0000-00000B010000}"/>
    <cellStyle name="_Table_Cantv DCF Scenarios by Avi" xfId="77" xr:uid="{00000000-0005-0000-0000-00000C010000}"/>
    <cellStyle name="_Table_Cash Flow" xfId="78" xr:uid="{00000000-0005-0000-0000-00000D010000}"/>
    <cellStyle name="_Table_Financials" xfId="79" xr:uid="{00000000-0005-0000-0000-00000E010000}"/>
    <cellStyle name="_Table_fmbi counties" xfId="541" xr:uid="{00000000-0005-0000-0000-00000F010000}"/>
    <cellStyle name="_Table_Gafisa Model 2007-07-08 (Updating wit 2Q07)" xfId="80" xr:uid="{00000000-0005-0000-0000-000010010000}"/>
    <cellStyle name="_Table_Gafisa Model Oct-31" xfId="81" xr:uid="{00000000-0005-0000-0000-000011010000}"/>
    <cellStyle name="_Table_GVTmodII" xfId="82" xr:uid="{00000000-0005-0000-0000-000012010000}"/>
    <cellStyle name="_Table_Operations" xfId="83" xr:uid="{00000000-0005-0000-0000-000013010000}"/>
    <cellStyle name="_Table_QP_XXX" xfId="84" xr:uid="{00000000-0005-0000-0000-000014010000}"/>
    <cellStyle name="_Table_xratio - historical mkt val" xfId="542" xr:uid="{00000000-0005-0000-0000-000015010000}"/>
    <cellStyle name="_TableHead" xfId="85" xr:uid="{00000000-0005-0000-0000-000016010000}"/>
    <cellStyle name="_TableHead_9" xfId="86" xr:uid="{00000000-0005-0000-0000-000017010000}"/>
    <cellStyle name="_TableHead_Cantv DCF Scenarios by Avi" xfId="87" xr:uid="{00000000-0005-0000-0000-000018010000}"/>
    <cellStyle name="_TableHead_Cash Flow" xfId="88" xr:uid="{00000000-0005-0000-0000-000019010000}"/>
    <cellStyle name="_TableHead_Converted Market Structure Template" xfId="89" xr:uid="{00000000-0005-0000-0000-00001A010000}"/>
    <cellStyle name="_TableHead_Exchanges" xfId="90" xr:uid="{00000000-0005-0000-0000-00001B010000}"/>
    <cellStyle name="_TableHead_Financials" xfId="91" xr:uid="{00000000-0005-0000-0000-00001C010000}"/>
    <cellStyle name="_TableHead_Gafisa Model 2007-07-08 (Updating wit 2Q07)" xfId="92" xr:uid="{00000000-0005-0000-0000-00001D010000}"/>
    <cellStyle name="_TableHead_Gafisa Model Oct-31" xfId="93" xr:uid="{00000000-0005-0000-0000-00001E010000}"/>
    <cellStyle name="_TableHead_GVTmodII" xfId="94" xr:uid="{00000000-0005-0000-0000-00001F010000}"/>
    <cellStyle name="_TableHead_Operations" xfId="95" xr:uid="{00000000-0005-0000-0000-000020010000}"/>
    <cellStyle name="_TableHead_QP_XXX" xfId="96" xr:uid="{00000000-0005-0000-0000-000021010000}"/>
    <cellStyle name="_TableHead_Sheet1" xfId="97" xr:uid="{00000000-0005-0000-0000-000022010000}"/>
    <cellStyle name="_TableRowHead" xfId="98" xr:uid="{00000000-0005-0000-0000-000023010000}"/>
    <cellStyle name="_TableRowHead_9" xfId="99" xr:uid="{00000000-0005-0000-0000-000024010000}"/>
    <cellStyle name="_TableRowHead_Cantv DCF Scenarios by Avi" xfId="100" xr:uid="{00000000-0005-0000-0000-000025010000}"/>
    <cellStyle name="_TableRowHead_Cash Flow" xfId="101" xr:uid="{00000000-0005-0000-0000-000026010000}"/>
    <cellStyle name="_TableRowHead_Converted Market Structure Template" xfId="102" xr:uid="{00000000-0005-0000-0000-000027010000}"/>
    <cellStyle name="_TableRowHead_Exchanges" xfId="103" xr:uid="{00000000-0005-0000-0000-000028010000}"/>
    <cellStyle name="_TableRowHead_Financials" xfId="104" xr:uid="{00000000-0005-0000-0000-000029010000}"/>
    <cellStyle name="_TableRowHead_Gafisa Model 2007-07-08 (Updating wit 2Q07)" xfId="105" xr:uid="{00000000-0005-0000-0000-00002A010000}"/>
    <cellStyle name="_TableRowHead_Gafisa Model Oct-31" xfId="106" xr:uid="{00000000-0005-0000-0000-00002B010000}"/>
    <cellStyle name="_TableRowHead_Operations" xfId="107" xr:uid="{00000000-0005-0000-0000-00002C010000}"/>
    <cellStyle name="_TableRowHead_QP_XXX" xfId="108" xr:uid="{00000000-0005-0000-0000-00002D010000}"/>
    <cellStyle name="_TableRowHead_Sheet1" xfId="109" xr:uid="{00000000-0005-0000-0000-00002E010000}"/>
    <cellStyle name="_TableSuperHead" xfId="110" xr:uid="{00000000-0005-0000-0000-00002F010000}"/>
    <cellStyle name="_TableSuperHead_Ability to Pay Analysis" xfId="543" xr:uid="{00000000-0005-0000-0000-000030010000}"/>
    <cellStyle name="_TableSuperHead_BankUnited Model" xfId="544" xr:uid="{00000000-0005-0000-0000-000031010000}"/>
    <cellStyle name="_TableSuperHead_Cantv DCF Scenarios by Avi" xfId="111" xr:uid="{00000000-0005-0000-0000-000032010000}"/>
    <cellStyle name="_TableSuperHead_Cash Flow" xfId="112" xr:uid="{00000000-0005-0000-0000-000033010000}"/>
    <cellStyle name="_TableSuperHead_Financials" xfId="113" xr:uid="{00000000-0005-0000-0000-000034010000}"/>
    <cellStyle name="_TableSuperHead_fmbi counties" xfId="545" xr:uid="{00000000-0005-0000-0000-000035010000}"/>
    <cellStyle name="_TableSuperHead_Gafisa Model 2007-07-08 (Updating wit 2Q07)" xfId="114" xr:uid="{00000000-0005-0000-0000-000036010000}"/>
    <cellStyle name="_TableSuperHead_Gafisa Model Oct-31" xfId="115" xr:uid="{00000000-0005-0000-0000-000037010000}"/>
    <cellStyle name="_TableSuperHead_Operations" xfId="116" xr:uid="{00000000-0005-0000-0000-000038010000}"/>
    <cellStyle name="_TableSuperHead_QP_XXX" xfId="117" xr:uid="{00000000-0005-0000-0000-000039010000}"/>
    <cellStyle name="_TableSuperHead_xratio - historical mkt val" xfId="546" xr:uid="{00000000-0005-0000-0000-00003A010000}"/>
    <cellStyle name="’Ê‰Ý [0.00]_GE 3 MINIMUM" xfId="118" xr:uid="{00000000-0005-0000-0000-00003B010000}"/>
    <cellStyle name="’Ê‰Ý_GE 3 MINIMUM" xfId="119" xr:uid="{00000000-0005-0000-0000-00003C010000}"/>
    <cellStyle name="•W€_GE 3 MINIMUM" xfId="120" xr:uid="{00000000-0005-0000-0000-00003D010000}"/>
    <cellStyle name="75" xfId="121" xr:uid="{00000000-0005-0000-0000-00003E010000}"/>
    <cellStyle name="A3 297 x 420 mm" xfId="122" xr:uid="{00000000-0005-0000-0000-00003F010000}"/>
    <cellStyle name="Acctg" xfId="123" xr:uid="{00000000-0005-0000-0000-000040010000}"/>
    <cellStyle name="Acctg$" xfId="124" xr:uid="{00000000-0005-0000-0000-000041010000}"/>
    <cellStyle name="Acctg_Trading Comps 2" xfId="125" xr:uid="{00000000-0005-0000-0000-000042010000}"/>
    <cellStyle name="Actual data" xfId="126" xr:uid="{00000000-0005-0000-0000-000043010000}"/>
    <cellStyle name="Actual year" xfId="127" xr:uid="{00000000-0005-0000-0000-000044010000}"/>
    <cellStyle name="Actuals Cells" xfId="128" xr:uid="{00000000-0005-0000-0000-000045010000}"/>
    <cellStyle name="ÅëÈ­ [0]_±âÅ¸" xfId="129" xr:uid="{00000000-0005-0000-0000-000046010000}"/>
    <cellStyle name="ÅëÈ­_±âÅ¸" xfId="130" xr:uid="{00000000-0005-0000-0000-000047010000}"/>
    <cellStyle name="AFE" xfId="131" xr:uid="{00000000-0005-0000-0000-000048010000}"/>
    <cellStyle name="afl" xfId="547" xr:uid="{00000000-0005-0000-0000-000049010000}"/>
    <cellStyle name="Andre's Title" xfId="548" xr:uid="{00000000-0005-0000-0000-00004A010000}"/>
    <cellStyle name="args.style" xfId="132" xr:uid="{00000000-0005-0000-0000-00004B010000}"/>
    <cellStyle name="ARIAL" xfId="133" xr:uid="{00000000-0005-0000-0000-00004C010000}"/>
    <cellStyle name="Arial Normal" xfId="134" xr:uid="{00000000-0005-0000-0000-00004D010000}"/>
    <cellStyle name="ÄÞ¸¶ [0]_±âÅ¸" xfId="135" xr:uid="{00000000-0005-0000-0000-00004E010000}"/>
    <cellStyle name="ÄÞ¸¶_±âÅ¸" xfId="136" xr:uid="{00000000-0005-0000-0000-00004F010000}"/>
    <cellStyle name="Azul" xfId="137" xr:uid="{00000000-0005-0000-0000-000050010000}"/>
    <cellStyle name="Azul(%)" xfId="138" xr:uid="{00000000-0005-0000-0000-000051010000}"/>
    <cellStyle name="AZUL_Bal (2)" xfId="139" xr:uid="{00000000-0005-0000-0000-000052010000}"/>
    <cellStyle name="BalanceSheet" xfId="140" xr:uid="{00000000-0005-0000-0000-000053010000}"/>
    <cellStyle name="Bank1" xfId="141" xr:uid="{00000000-0005-0000-0000-000054010000}"/>
    <cellStyle name="Blank" xfId="142" xr:uid="{00000000-0005-0000-0000-000055010000}"/>
    <cellStyle name="Blue" xfId="143" xr:uid="{00000000-0005-0000-0000-000056010000}"/>
    <cellStyle name="Blue Title" xfId="549" xr:uid="{00000000-0005-0000-0000-000057010000}"/>
    <cellStyle name="Boletim" xfId="144" xr:uid="{00000000-0005-0000-0000-000058010000}"/>
    <cellStyle name="Border Heavy" xfId="145" xr:uid="{00000000-0005-0000-0000-000059010000}"/>
    <cellStyle name="Border Thin" xfId="146" xr:uid="{00000000-0005-0000-0000-00005A010000}"/>
    <cellStyle name="bvshr$" xfId="147" xr:uid="{00000000-0005-0000-0000-00005B010000}"/>
    <cellStyle name="Ç¥ÁØ_¿¬°£´©°è¿¹»ó" xfId="148" xr:uid="{00000000-0005-0000-0000-00005C010000}"/>
    <cellStyle name="Calc Cells" xfId="149" xr:uid="{00000000-0005-0000-0000-00005D010000}"/>
    <cellStyle name="Calc Currency (0)" xfId="150" xr:uid="{00000000-0005-0000-0000-00005E010000}"/>
    <cellStyle name="Case" xfId="550" xr:uid="{00000000-0005-0000-0000-00005F010000}"/>
    <cellStyle name="CashFlow" xfId="151" xr:uid="{00000000-0005-0000-0000-000060010000}"/>
    <cellStyle name="CFnozeros" xfId="152" xr:uid="{00000000-0005-0000-0000-000061010000}"/>
    <cellStyle name="CFtotal$" xfId="153" xr:uid="{00000000-0005-0000-0000-000062010000}"/>
    <cellStyle name="Changeable" xfId="154" xr:uid="{00000000-0005-0000-0000-000063010000}"/>
    <cellStyle name="Co. Names" xfId="551" xr:uid="{00000000-0005-0000-0000-000064010000}"/>
    <cellStyle name="Co. Names - Bold" xfId="552" xr:uid="{00000000-0005-0000-0000-000065010000}"/>
    <cellStyle name="Co. Names_Blend" xfId="553" xr:uid="{00000000-0005-0000-0000-000066010000}"/>
    <cellStyle name="Col Head" xfId="554" xr:uid="{00000000-0005-0000-0000-000067010000}"/>
    <cellStyle name="ColHeading" xfId="155" xr:uid="{00000000-0005-0000-0000-000068010000}"/>
    <cellStyle name="Comma  - Style1" xfId="156" xr:uid="{00000000-0005-0000-0000-000069010000}"/>
    <cellStyle name="Comma  - Style2" xfId="157" xr:uid="{00000000-0005-0000-0000-00006A010000}"/>
    <cellStyle name="Comma  - Style3" xfId="158" xr:uid="{00000000-0005-0000-0000-00006B010000}"/>
    <cellStyle name="Comma  - Style4" xfId="159" xr:uid="{00000000-0005-0000-0000-00006C010000}"/>
    <cellStyle name="Comma  - Style5" xfId="160" xr:uid="{00000000-0005-0000-0000-00006D010000}"/>
    <cellStyle name="Comma  - Style6" xfId="161" xr:uid="{00000000-0005-0000-0000-00006E010000}"/>
    <cellStyle name="Comma  - Style7" xfId="162" xr:uid="{00000000-0005-0000-0000-00006F010000}"/>
    <cellStyle name="Comma  - Style8" xfId="163" xr:uid="{00000000-0005-0000-0000-000070010000}"/>
    <cellStyle name="Comma (0)" xfId="164" xr:uid="{00000000-0005-0000-0000-000071010000}"/>
    <cellStyle name="Comma 2" xfId="345" xr:uid="{00000000-0005-0000-0000-000072010000}"/>
    <cellStyle name="Comma_Itau model - Saul" xfId="165" xr:uid="{00000000-0005-0000-0000-000073010000}"/>
    <cellStyle name="Comma_STRMmod" xfId="166" xr:uid="{00000000-0005-0000-0000-000074010000}"/>
    <cellStyle name="Comma_TelevisaMod" xfId="167" xr:uid="{00000000-0005-0000-0000-000075010000}"/>
    <cellStyle name="Comma0" xfId="168" xr:uid="{00000000-0005-0000-0000-000076010000}"/>
    <cellStyle name="Comma1" xfId="169" xr:uid="{00000000-0005-0000-0000-000077010000}"/>
    <cellStyle name="Company" xfId="170" xr:uid="{00000000-0005-0000-0000-000078010000}"/>
    <cellStyle name="Company name" xfId="171" xr:uid="{00000000-0005-0000-0000-000079010000}"/>
    <cellStyle name="Company_2Q07" xfId="172" xr:uid="{00000000-0005-0000-0000-00007A010000}"/>
    <cellStyle name="CompanyTitle" xfId="555" xr:uid="{00000000-0005-0000-0000-00007B010000}"/>
    <cellStyle name="Copied" xfId="173" xr:uid="{00000000-0005-0000-0000-00007C010000}"/>
    <cellStyle name="CurRatio" xfId="174" xr:uid="{00000000-0005-0000-0000-00007D010000}"/>
    <cellStyle name="Currency (1)" xfId="175" xr:uid="{00000000-0005-0000-0000-00007E010000}"/>
    <cellStyle name="Currency [2]" xfId="176" xr:uid="{00000000-0005-0000-0000-00007F010000}"/>
    <cellStyle name="Currency0" xfId="556" xr:uid="{00000000-0005-0000-0000-000080010000}"/>
    <cellStyle name="custeq" xfId="177" xr:uid="{00000000-0005-0000-0000-000081010000}"/>
    <cellStyle name="custom" xfId="178" xr:uid="{00000000-0005-0000-0000-000082010000}"/>
    <cellStyle name="Date" xfId="179" xr:uid="{00000000-0005-0000-0000-000083010000}"/>
    <cellStyle name="Date [mmm-yy]" xfId="180" xr:uid="{00000000-0005-0000-0000-000084010000}"/>
    <cellStyle name="Date_Gafisa Model 2007-07-08 (Updating wit 2Q07)" xfId="181" xr:uid="{00000000-0005-0000-0000-000085010000}"/>
    <cellStyle name="Dates" xfId="182" xr:uid="{00000000-0005-0000-0000-000086010000}"/>
    <cellStyle name="DateYear" xfId="183" xr:uid="{00000000-0005-0000-0000-000087010000}"/>
    <cellStyle name="decimal 1" xfId="184" xr:uid="{00000000-0005-0000-0000-000088010000}"/>
    <cellStyle name="default" xfId="557" xr:uid="{00000000-0005-0000-0000-000089010000}"/>
    <cellStyle name="Diseño" xfId="185" xr:uid="{00000000-0005-0000-0000-00008A010000}"/>
    <cellStyle name="dividend$" xfId="186" xr:uid="{00000000-0005-0000-0000-00008B010000}"/>
    <cellStyle name="dividends" xfId="187" xr:uid="{00000000-0005-0000-0000-00008C010000}"/>
    <cellStyle name="Dollar" xfId="188" xr:uid="{00000000-0005-0000-0000-00008D010000}"/>
    <cellStyle name="DollarWhole" xfId="189" xr:uid="{00000000-0005-0000-0000-00008E010000}"/>
    <cellStyle name="emp" xfId="558" xr:uid="{00000000-0005-0000-0000-00008F010000}"/>
    <cellStyle name="Entered" xfId="190" xr:uid="{00000000-0005-0000-0000-000090010000}"/>
    <cellStyle name="eps$" xfId="191" xr:uid="{00000000-0005-0000-0000-000091010000}"/>
    <cellStyle name="ER$AS" xfId="192" xr:uid="{00000000-0005-0000-0000-000092010000}"/>
    <cellStyle name="ER$IS" xfId="193" xr:uid="{00000000-0005-0000-0000-000093010000}"/>
    <cellStyle name="ER$IS (2)" xfId="194" xr:uid="{00000000-0005-0000-0000-000094010000}"/>
    <cellStyle name="ER$IS_2003 OpRecon" xfId="195" xr:uid="{00000000-0005-0000-0000-000095010000}"/>
    <cellStyle name="ERCOM" xfId="196" xr:uid="{00000000-0005-0000-0000-000096010000}"/>
    <cellStyle name="erdivid" xfId="197" xr:uid="{00000000-0005-0000-0000-000097010000}"/>
    <cellStyle name="ereps$" xfId="198" xr:uid="{00000000-0005-0000-0000-000098010000}"/>
    <cellStyle name="ERIS" xfId="199" xr:uid="{00000000-0005-0000-0000-000099010000}"/>
    <cellStyle name="ERnozeros" xfId="200" xr:uid="{00000000-0005-0000-0000-00009A010000}"/>
    <cellStyle name="ERtotal$" xfId="201" xr:uid="{00000000-0005-0000-0000-00009B010000}"/>
    <cellStyle name="Euro" xfId="202" xr:uid="{00000000-0005-0000-0000-00009C010000}"/>
    <cellStyle name="External File Cells" xfId="203" xr:uid="{00000000-0005-0000-0000-00009D010000}"/>
    <cellStyle name="F8 - Estilo5" xfId="204" xr:uid="{00000000-0005-0000-0000-00009E010000}"/>
    <cellStyle name="Fit" xfId="559" xr:uid="{00000000-0005-0000-0000-00009F010000}"/>
    <cellStyle name="Fixed" xfId="560" xr:uid="{00000000-0005-0000-0000-0000A0010000}"/>
    <cellStyle name="Footnotes" xfId="561" xr:uid="{00000000-0005-0000-0000-0000A1010000}"/>
    <cellStyle name="Forecast Cells" xfId="205" xr:uid="{00000000-0005-0000-0000-0000A2010000}"/>
    <cellStyle name="Formula" xfId="206" xr:uid="{00000000-0005-0000-0000-0000A3010000}"/>
    <cellStyle name="G1_1999 figures" xfId="207" xr:uid="{00000000-0005-0000-0000-0000A4010000}"/>
    <cellStyle name="Grey" xfId="208" xr:uid="{00000000-0005-0000-0000-0000A5010000}"/>
    <cellStyle name="GrowthRate" xfId="209" xr:uid="{00000000-0005-0000-0000-0000A6010000}"/>
    <cellStyle name="GWN Table Body" xfId="210" xr:uid="{00000000-0005-0000-0000-0000A7010000}"/>
    <cellStyle name="GWN Table Header" xfId="211" xr:uid="{00000000-0005-0000-0000-0000A8010000}"/>
    <cellStyle name="GWN Table Left Header" xfId="212" xr:uid="{00000000-0005-0000-0000-0000A9010000}"/>
    <cellStyle name="GWN Table Note" xfId="213" xr:uid="{00000000-0005-0000-0000-0000AA010000}"/>
    <cellStyle name="GWN Table Title" xfId="214" xr:uid="{00000000-0005-0000-0000-0000AB010000}"/>
    <cellStyle name="H_1998_col_head" xfId="215" xr:uid="{00000000-0005-0000-0000-0000AC010000}"/>
    <cellStyle name="H_1999_col_head" xfId="216" xr:uid="{00000000-0005-0000-0000-0000AD010000}"/>
    <cellStyle name="H1_1998 figures" xfId="217" xr:uid="{00000000-0005-0000-0000-0000AE010000}"/>
    <cellStyle name="hard no." xfId="218" xr:uid="{00000000-0005-0000-0000-0000AF010000}"/>
    <cellStyle name="Header1" xfId="219" xr:uid="{00000000-0005-0000-0000-0000B0010000}"/>
    <cellStyle name="Header2" xfId="220" xr:uid="{00000000-0005-0000-0000-0000B1010000}"/>
    <cellStyle name="Heading" xfId="562" xr:uid="{00000000-0005-0000-0000-0000B2010000}"/>
    <cellStyle name="Heading1" xfId="221" xr:uid="{00000000-0005-0000-0000-0000B3010000}"/>
    <cellStyle name="HEADINGS" xfId="222" xr:uid="{00000000-0005-0000-0000-0000B4010000}"/>
    <cellStyle name="HEADINGSTOP" xfId="223" xr:uid="{00000000-0005-0000-0000-0000B5010000}"/>
    <cellStyle name="Hipervínculo" xfId="224" xr:uid="{00000000-0005-0000-0000-0000B6010000}"/>
    <cellStyle name="Hipervínculo visitado" xfId="225" xr:uid="{00000000-0005-0000-0000-0000B7010000}"/>
    <cellStyle name="Hyperlink seguido" xfId="226" xr:uid="{00000000-0005-0000-0000-0000B8010000}"/>
    <cellStyle name="Hypertextový odkaz" xfId="227" xr:uid="{00000000-0005-0000-0000-0000B9010000}"/>
    <cellStyle name="IncomeStatement" xfId="228" xr:uid="{00000000-0005-0000-0000-0000BA010000}"/>
    <cellStyle name="Input [yellow]" xfId="229" xr:uid="{00000000-0005-0000-0000-0000BB010000}"/>
    <cellStyle name="Input Cells" xfId="230" xr:uid="{00000000-0005-0000-0000-0000BC010000}"/>
    <cellStyle name="InputPct" xfId="231" xr:uid="{00000000-0005-0000-0000-0000BD010000}"/>
    <cellStyle name="Integer" xfId="232" xr:uid="{00000000-0005-0000-0000-0000BE010000}"/>
    <cellStyle name="Item" xfId="233" xr:uid="{00000000-0005-0000-0000-0000BF010000}"/>
    <cellStyle name="Item Descriptions" xfId="563" xr:uid="{00000000-0005-0000-0000-0000C0010000}"/>
    <cellStyle name="ItemTypeClass" xfId="234" xr:uid="{00000000-0005-0000-0000-0000C1010000}"/>
    <cellStyle name="Line" xfId="564" xr:uid="{00000000-0005-0000-0000-0000C2010000}"/>
    <cellStyle name="Mainhead" xfId="235" xr:uid="{00000000-0005-0000-0000-0000C3010000}"/>
    <cellStyle name="Margins" xfId="236" xr:uid="{00000000-0005-0000-0000-0000C4010000}"/>
    <cellStyle name="Merrill" xfId="565" xr:uid="{00000000-0005-0000-0000-0000C5010000}"/>
    <cellStyle name="Millares" xfId="594" builtinId="3"/>
    <cellStyle name="Milliers [0]_!!!GO" xfId="237" xr:uid="{00000000-0005-0000-0000-0000C7010000}"/>
    <cellStyle name="Milliers_!!!GO" xfId="238" xr:uid="{00000000-0005-0000-0000-0000C8010000}"/>
    <cellStyle name="Mix" xfId="566" xr:uid="{00000000-0005-0000-0000-0000C9010000}"/>
    <cellStyle name="Moeda [0]_BalanceteNov_2004" xfId="239" xr:uid="{00000000-0005-0000-0000-0000CA010000}"/>
    <cellStyle name="Moeda_BalanceteNov_2004" xfId="240" xr:uid="{00000000-0005-0000-0000-0000CB010000}"/>
    <cellStyle name="Monétaire [0]_!!!GO" xfId="241" xr:uid="{00000000-0005-0000-0000-0000CC010000}"/>
    <cellStyle name="Monétaire_!!!GO" xfId="242" xr:uid="{00000000-0005-0000-0000-0000CD010000}"/>
    <cellStyle name="Monitor" xfId="243" xr:uid="{00000000-0005-0000-0000-0000CE010000}"/>
    <cellStyle name="multiple" xfId="244" xr:uid="{00000000-0005-0000-0000-0000CF010000}"/>
    <cellStyle name="New Times Roman" xfId="245" xr:uid="{00000000-0005-0000-0000-0000D0010000}"/>
    <cellStyle name="no dec" xfId="246" xr:uid="{00000000-0005-0000-0000-0000D1010000}"/>
    <cellStyle name="Normal" xfId="0" builtinId="0"/>
    <cellStyle name="Normal - Style1" xfId="247" xr:uid="{00000000-0005-0000-0000-0000D3010000}"/>
    <cellStyle name="Normal 2" xfId="343" xr:uid="{00000000-0005-0000-0000-0000D4010000}"/>
    <cellStyle name="Normal 3" xfId="567" xr:uid="{00000000-0005-0000-0000-0000D5010000}"/>
    <cellStyle name="Normal Cells" xfId="248" xr:uid="{00000000-0005-0000-0000-0000D6010000}"/>
    <cellStyle name="Normal_BB" xfId="249" xr:uid="{00000000-0005-0000-0000-0000D7010000}"/>
    <cellStyle name="Normal_BBDC 2009-03-30 Lower country risk" xfId="250" xr:uid="{00000000-0005-0000-0000-0000D8010000}"/>
    <cellStyle name="Normal_Bradesco model" xfId="251" xr:uid="{00000000-0005-0000-0000-0000D9010000}"/>
    <cellStyle name="Normal_Bradesco model - Saul" xfId="252" xr:uid="{00000000-0005-0000-0000-0000DA010000}"/>
    <cellStyle name="Normal_Cantv DCF Scenarios by Avi" xfId="2" xr:uid="{00000000-0005-0000-0000-0000DB010000}"/>
    <cellStyle name="Normal_Income" xfId="253" xr:uid="{00000000-0005-0000-0000-0000DC010000}"/>
    <cellStyle name="Normal_ITAU" xfId="254" xr:uid="{00000000-0005-0000-0000-0000DD010000}"/>
    <cellStyle name="Normal_Itau model - active" xfId="255" xr:uid="{00000000-0005-0000-0000-0000DE010000}"/>
    <cellStyle name="Normal_Itau model - Saul" xfId="256" xr:uid="{00000000-0005-0000-0000-0000DF010000}"/>
    <cellStyle name="Normal_Merger Plans" xfId="1" xr:uid="{00000000-0005-0000-0000-0000E0010000}"/>
    <cellStyle name="Normal_Request Template" xfId="3" xr:uid="{00000000-0005-0000-0000-0000E1010000}"/>
    <cellStyle name="Notes" xfId="257" xr:uid="{00000000-0005-0000-0000-0000E2010000}"/>
    <cellStyle name="nozeros" xfId="258" xr:uid="{00000000-0005-0000-0000-0000E3010000}"/>
    <cellStyle name="nozeros(1)" xfId="259" xr:uid="{00000000-0005-0000-0000-0000E4010000}"/>
    <cellStyle name="nozeros(2)" xfId="260" xr:uid="{00000000-0005-0000-0000-0000E5010000}"/>
    <cellStyle name="nozeros_2003 OpRecon" xfId="261" xr:uid="{00000000-0005-0000-0000-0000E6010000}"/>
    <cellStyle name="Number" xfId="262" xr:uid="{00000000-0005-0000-0000-0000E7010000}"/>
    <cellStyle name="Numbers" xfId="568" xr:uid="{00000000-0005-0000-0000-0000E8010000}"/>
    <cellStyle name="Numbers - Bold" xfId="569" xr:uid="{00000000-0005-0000-0000-0000E9010000}"/>
    <cellStyle name="Numbers - Bold - Italic" xfId="570" xr:uid="{00000000-0005-0000-0000-0000EA010000}"/>
    <cellStyle name="Numbers - Bold_Blend" xfId="571" xr:uid="{00000000-0005-0000-0000-0000EB010000}"/>
    <cellStyle name="Numbers - Large" xfId="572" xr:uid="{00000000-0005-0000-0000-0000EC010000}"/>
    <cellStyle name="Numbers_Comps" xfId="573" xr:uid="{00000000-0005-0000-0000-0000ED010000}"/>
    <cellStyle name="Œ…‹æØ‚è [0.00]_fcs1" xfId="263" xr:uid="{00000000-0005-0000-0000-0000EE010000}"/>
    <cellStyle name="Œ…‹æØ‚è_fcs1" xfId="264" xr:uid="{00000000-0005-0000-0000-0000EF010000}"/>
    <cellStyle name="OSW_ColumnLabels" xfId="574" xr:uid="{00000000-0005-0000-0000-0000F0010000}"/>
    <cellStyle name="Output Amounts" xfId="265" xr:uid="{00000000-0005-0000-0000-0000F1010000}"/>
    <cellStyle name="Output Column Headings" xfId="266" xr:uid="{00000000-0005-0000-0000-0000F2010000}"/>
    <cellStyle name="Output Labels" xfId="267" xr:uid="{00000000-0005-0000-0000-0000F3010000}"/>
    <cellStyle name="Output Line Items" xfId="268" xr:uid="{00000000-0005-0000-0000-0000F4010000}"/>
    <cellStyle name="Output Report Heading" xfId="269" xr:uid="{00000000-0005-0000-0000-0000F5010000}"/>
    <cellStyle name="Output Report Title" xfId="270" xr:uid="{00000000-0005-0000-0000-0000F6010000}"/>
    <cellStyle name="Page" xfId="575" xr:uid="{00000000-0005-0000-0000-0000F7010000}"/>
    <cellStyle name="Page header" xfId="271" xr:uid="{00000000-0005-0000-0000-0000F8010000}"/>
    <cellStyle name="Page Heading Large" xfId="272" xr:uid="{00000000-0005-0000-0000-0000F9010000}"/>
    <cellStyle name="Page Heading Small" xfId="273" xr:uid="{00000000-0005-0000-0000-0000FA010000}"/>
    <cellStyle name="per.style" xfId="274" xr:uid="{00000000-0005-0000-0000-0000FB010000}"/>
    <cellStyle name="Percent [1]" xfId="275" xr:uid="{00000000-0005-0000-0000-0000FC010000}"/>
    <cellStyle name="Percent [2]" xfId="276" xr:uid="{00000000-0005-0000-0000-0000FD010000}"/>
    <cellStyle name="Percent 2" xfId="344" xr:uid="{00000000-0005-0000-0000-0000FE010000}"/>
    <cellStyle name="Percent Hard" xfId="277" xr:uid="{00000000-0005-0000-0000-0000FF010000}"/>
    <cellStyle name="Percentage" xfId="576" xr:uid="{00000000-0005-0000-0000-000000020000}"/>
    <cellStyle name="PercentChange" xfId="278" xr:uid="{00000000-0005-0000-0000-000001020000}"/>
    <cellStyle name="PercentPresentation" xfId="279" xr:uid="{00000000-0005-0000-0000-000002020000}"/>
    <cellStyle name="Popis" xfId="280" xr:uid="{00000000-0005-0000-0000-000003020000}"/>
    <cellStyle name="POPS" xfId="281" xr:uid="{00000000-0005-0000-0000-000004020000}"/>
    <cellStyle name="Porcen - Estilo7" xfId="282" xr:uid="{00000000-0005-0000-0000-000005020000}"/>
    <cellStyle name="Porcentaje" xfId="595" builtinId="5"/>
    <cellStyle name="Porcentual_1ConsolidatedIncome&amp;BS 0903" xfId="283" xr:uid="{00000000-0005-0000-0000-000007020000}"/>
    <cellStyle name="PresentationZero" xfId="284" xr:uid="{00000000-0005-0000-0000-000008020000}"/>
    <cellStyle name="Price" xfId="285" xr:uid="{00000000-0005-0000-0000-000009020000}"/>
    <cellStyle name="pricing" xfId="286" xr:uid="{00000000-0005-0000-0000-00000A020000}"/>
    <cellStyle name="prot" xfId="577" xr:uid="{00000000-0005-0000-0000-00000B020000}"/>
    <cellStyle name="PSChar" xfId="287" xr:uid="{00000000-0005-0000-0000-00000C020000}"/>
    <cellStyle name="PSDate" xfId="288" xr:uid="{00000000-0005-0000-0000-00000D020000}"/>
    <cellStyle name="PSDec" xfId="289" xr:uid="{00000000-0005-0000-0000-00000E020000}"/>
    <cellStyle name="PSHeading" xfId="290" xr:uid="{00000000-0005-0000-0000-00000F020000}"/>
    <cellStyle name="PSInt" xfId="291" xr:uid="{00000000-0005-0000-0000-000010020000}"/>
    <cellStyle name="PSSpacer" xfId="292" xr:uid="{00000000-0005-0000-0000-000011020000}"/>
    <cellStyle name="Punto" xfId="578" xr:uid="{00000000-0005-0000-0000-000012020000}"/>
    <cellStyle name="Punto0" xfId="293" xr:uid="{00000000-0005-0000-0000-000013020000}"/>
    <cellStyle name="Punto0 - Estilo6" xfId="294" xr:uid="{00000000-0005-0000-0000-000014020000}"/>
    <cellStyle name="r" xfId="579" xr:uid="{00000000-0005-0000-0000-000015020000}"/>
    <cellStyle name="RatioX" xfId="295" xr:uid="{00000000-0005-0000-0000-000016020000}"/>
    <cellStyle name="Real (00)" xfId="296" xr:uid="{00000000-0005-0000-0000-000017020000}"/>
    <cellStyle name="regstoresfromspecstores" xfId="297" xr:uid="{00000000-0005-0000-0000-000018020000}"/>
    <cellStyle name="Reuters Cells" xfId="298" xr:uid="{00000000-0005-0000-0000-000019020000}"/>
    <cellStyle name="RevList" xfId="299" xr:uid="{00000000-0005-0000-0000-00001A020000}"/>
    <cellStyle name="s" xfId="300" xr:uid="{00000000-0005-0000-0000-00001B020000}"/>
    <cellStyle name="ScripFactor" xfId="301" xr:uid="{00000000-0005-0000-0000-00001C020000}"/>
    <cellStyle name="SectionHeading" xfId="302" xr:uid="{00000000-0005-0000-0000-00001D020000}"/>
    <cellStyle name="Separador de milhares [0]_SUMA-CON" xfId="303" xr:uid="{00000000-0005-0000-0000-00001E020000}"/>
    <cellStyle name="Separador de milhares_internet" xfId="304" xr:uid="{00000000-0005-0000-0000-00001F020000}"/>
    <cellStyle name="Shaded" xfId="305" xr:uid="{00000000-0005-0000-0000-000020020000}"/>
    <cellStyle name="ShadedCells_Database" xfId="306" xr:uid="{00000000-0005-0000-0000-000021020000}"/>
    <cellStyle name="SHADEDSTORES" xfId="307" xr:uid="{00000000-0005-0000-0000-000022020000}"/>
    <cellStyle name="Shares" xfId="308" xr:uid="{00000000-0005-0000-0000-000023020000}"/>
    <cellStyle name="Sheet Title" xfId="580" xr:uid="{00000000-0005-0000-0000-000024020000}"/>
    <cellStyle name="ShOut" xfId="581" xr:uid="{00000000-0005-0000-0000-000025020000}"/>
    <cellStyle name="Sledovaný hypertextový odkaz" xfId="309" xr:uid="{00000000-0005-0000-0000-000026020000}"/>
    <cellStyle name="specstores" xfId="310" xr:uid="{00000000-0005-0000-0000-000027020000}"/>
    <cellStyle name="Standard_BS14" xfId="311" xr:uid="{00000000-0005-0000-0000-000028020000}"/>
    <cellStyle name="Style 1" xfId="312" xr:uid="{00000000-0005-0000-0000-000029020000}"/>
    <cellStyle name="Style 2" xfId="313" xr:uid="{00000000-0005-0000-0000-00002A020000}"/>
    <cellStyle name="Style 3" xfId="582" xr:uid="{00000000-0005-0000-0000-00002B020000}"/>
    <cellStyle name="Style D green" xfId="314" xr:uid="{00000000-0005-0000-0000-00002C020000}"/>
    <cellStyle name="Style E" xfId="315" xr:uid="{00000000-0005-0000-0000-00002D020000}"/>
    <cellStyle name="Style H" xfId="316" xr:uid="{00000000-0005-0000-0000-00002E020000}"/>
    <cellStyle name="Sub total" xfId="317" xr:uid="{00000000-0005-0000-0000-00002F020000}"/>
    <cellStyle name="Subtotal" xfId="318" xr:uid="{00000000-0005-0000-0000-000030020000}"/>
    <cellStyle name="Sum" xfId="583" xr:uid="{00000000-0005-0000-0000-000031020000}"/>
    <cellStyle name="Swiss" xfId="584" xr:uid="{00000000-0005-0000-0000-000032020000}"/>
    <cellStyle name="swisses" xfId="319" xr:uid="{00000000-0005-0000-0000-000033020000}"/>
    <cellStyle name="t" xfId="585" xr:uid="{00000000-0005-0000-0000-000034020000}"/>
    <cellStyle name="Table Col Head" xfId="320" xr:uid="{00000000-0005-0000-0000-000035020000}"/>
    <cellStyle name="Table end" xfId="321" xr:uid="{00000000-0005-0000-0000-000036020000}"/>
    <cellStyle name="Table head" xfId="322" xr:uid="{00000000-0005-0000-0000-000037020000}"/>
    <cellStyle name="Table Sub Head" xfId="323" xr:uid="{00000000-0005-0000-0000-000038020000}"/>
    <cellStyle name="table text bold" xfId="324" xr:uid="{00000000-0005-0000-0000-000039020000}"/>
    <cellStyle name="table text bold green" xfId="325" xr:uid="{00000000-0005-0000-0000-00003A020000}"/>
    <cellStyle name="table text light" xfId="326" xr:uid="{00000000-0005-0000-0000-00003B020000}"/>
    <cellStyle name="Table Title" xfId="327" xr:uid="{00000000-0005-0000-0000-00003C020000}"/>
    <cellStyle name="Table Units" xfId="328" xr:uid="{00000000-0005-0000-0000-00003D020000}"/>
    <cellStyle name="Time" xfId="586" xr:uid="{00000000-0005-0000-0000-00003E020000}"/>
    <cellStyle name="Title - PROJECT" xfId="587" xr:uid="{00000000-0005-0000-0000-00003F020000}"/>
    <cellStyle name="Title - Underline" xfId="588" xr:uid="{00000000-0005-0000-0000-000040020000}"/>
    <cellStyle name="Title1" xfId="589" xr:uid="{00000000-0005-0000-0000-000041020000}"/>
    <cellStyle name="Title2" xfId="329" xr:uid="{00000000-0005-0000-0000-000042020000}"/>
    <cellStyle name="TitleII" xfId="330" xr:uid="{00000000-0005-0000-0000-000043020000}"/>
    <cellStyle name="Titles" xfId="331" xr:uid="{00000000-0005-0000-0000-000044020000}"/>
    <cellStyle name="Titles - Col. Headings" xfId="590" xr:uid="{00000000-0005-0000-0000-000045020000}"/>
    <cellStyle name="Titles - Other" xfId="591" xr:uid="{00000000-0005-0000-0000-000046020000}"/>
    <cellStyle name="total$" xfId="332" xr:uid="{00000000-0005-0000-0000-000047020000}"/>
    <cellStyle name="TR 8" xfId="333" xr:uid="{00000000-0005-0000-0000-000048020000}"/>
    <cellStyle name="TR 8B" xfId="334" xr:uid="{00000000-0005-0000-0000-000049020000}"/>
    <cellStyle name="ubordinated Debt" xfId="335" xr:uid="{00000000-0005-0000-0000-00004A020000}"/>
    <cellStyle name="underline 1 decimal" xfId="336" xr:uid="{00000000-0005-0000-0000-00004B020000}"/>
    <cellStyle name="unm" xfId="592" xr:uid="{00000000-0005-0000-0000-00004C020000}"/>
    <cellStyle name="Unprotect" xfId="337" xr:uid="{00000000-0005-0000-0000-00004D020000}"/>
    <cellStyle name="WholeNumber" xfId="338" xr:uid="{00000000-0005-0000-0000-00004E020000}"/>
    <cellStyle name="x" xfId="339" xr:uid="{00000000-0005-0000-0000-00004F020000}"/>
    <cellStyle name="Year" xfId="340" xr:uid="{00000000-0005-0000-0000-000050020000}"/>
    <cellStyle name="Years" xfId="593" xr:uid="{00000000-0005-0000-0000-000051020000}"/>
    <cellStyle name="yen" xfId="341" xr:uid="{00000000-0005-0000-0000-000052020000}"/>
    <cellStyle name="標準_10.25印刷_FF (2)" xfId="342" xr:uid="{00000000-0005-0000-0000-00005302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E76AA"/>
      <rgbColor rgb="00CFD6E6"/>
      <rgbColor rgb="009EADCC"/>
      <rgbColor rgb="00EFF1F6"/>
      <rgbColor rgb="00BFC8DD"/>
      <rgbColor rgb="008E9FC4"/>
      <rgbColor rgb="00DFE4EE"/>
      <rgbColor rgb="00AEBAD5"/>
      <rgbColor rgb="00000000"/>
      <rgbColor rgb="00AAAAAA"/>
      <rgbColor rgb="00444444"/>
      <rgbColor rgb="00CCCCCC"/>
      <rgbColor rgb="00888888"/>
      <rgbColor rgb="00666666"/>
      <rgbColor rgb="00EEEEEE"/>
      <rgbColor rgb="00222222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38100</xdr:rowOff>
    </xdr:from>
    <xdr:to>
      <xdr:col>1</xdr:col>
      <xdr:colOff>1200150</xdr:colOff>
      <xdr:row>6</xdr:row>
      <xdr:rowOff>142875</xdr:rowOff>
    </xdr:to>
    <xdr:pic>
      <xdr:nvPicPr>
        <xdr:cNvPr id="2" name="Picture 1" descr="Logo_solid_1_5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-6000"/>
        </a:blip>
        <a:srcRect/>
        <a:stretch>
          <a:fillRect/>
        </a:stretch>
      </xdr:blipFill>
      <xdr:spPr bwMode="auto">
        <a:xfrm>
          <a:off x="695325" y="361950"/>
          <a:ext cx="52387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1</xdr:row>
      <xdr:rowOff>0</xdr:rowOff>
    </xdr:to>
    <xdr:pic>
      <xdr:nvPicPr>
        <xdr:cNvPr id="2" name="Picture 1" descr="GS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4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1</xdr:row>
      <xdr:rowOff>0</xdr:rowOff>
    </xdr:to>
    <xdr:pic>
      <xdr:nvPicPr>
        <xdr:cNvPr id="2" name="Picture 1" descr="GS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4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1</xdr:row>
      <xdr:rowOff>0</xdr:rowOff>
    </xdr:to>
    <xdr:pic>
      <xdr:nvPicPr>
        <xdr:cNvPr id="2" name="Picture 1" descr="GS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4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2</xdr:row>
      <xdr:rowOff>68580</xdr:rowOff>
    </xdr:to>
    <xdr:pic>
      <xdr:nvPicPr>
        <xdr:cNvPr id="2" name="Picture 1" descr="GS 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4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514350</xdr:colOff>
      <xdr:row>1</xdr:row>
      <xdr:rowOff>0</xdr:rowOff>
    </xdr:to>
    <xdr:pic>
      <xdr:nvPicPr>
        <xdr:cNvPr id="2" name="Picture 1" descr="GS 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4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388620</xdr:colOff>
      <xdr:row>1</xdr:row>
      <xdr:rowOff>0</xdr:rowOff>
    </xdr:to>
    <xdr:pic>
      <xdr:nvPicPr>
        <xdr:cNvPr id="3" name="Picture 1" descr="GS 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096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GIR Product">
  <a:themeElements>
    <a:clrScheme name="Equity">
      <a:dk1>
        <a:sysClr val="windowText" lastClr="000000"/>
      </a:dk1>
      <a:lt1>
        <a:sysClr val="window" lastClr="FFFFFF"/>
      </a:lt1>
      <a:dk2>
        <a:srgbClr val="AEBAD5"/>
      </a:dk2>
      <a:lt2>
        <a:srgbClr val="DFE4EE"/>
      </a:lt2>
      <a:accent1>
        <a:srgbClr val="5E76AA"/>
      </a:accent1>
      <a:accent2>
        <a:srgbClr val="CFD6E6"/>
      </a:accent2>
      <a:accent3>
        <a:srgbClr val="9EADCC"/>
      </a:accent3>
      <a:accent4>
        <a:srgbClr val="EFF1F6"/>
      </a:accent4>
      <a:accent5>
        <a:srgbClr val="BFC8DD"/>
      </a:accent5>
      <a:accent6>
        <a:srgbClr val="8E9FC4"/>
      </a:accent6>
      <a:hlink>
        <a:srgbClr val="0000FF"/>
      </a:hlink>
      <a:folHlink>
        <a:srgbClr val="800080"/>
      </a:folHlink>
    </a:clrScheme>
    <a:fontScheme name="GIR Product">
      <a:majorFont>
        <a:latin typeface="Univers LT Std 65 Bold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Jpan" typeface="MS Gothic"/>
      </a:majorFont>
      <a:minorFont>
        <a:latin typeface="Univers LT Std 55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GIR Produc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8575">
          <a:solidFill>
            <a:srgbClr val="FF0000"/>
          </a:solidFill>
          <a:round/>
          <a:headEnd/>
          <a:tailEnd/>
        </a:ln>
        <a:effectLst/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4"/>
  </sheetPr>
  <dimension ref="A2:P36"/>
  <sheetViews>
    <sheetView showGridLines="0" zoomScale="85" zoomScaleNormal="85" zoomScaleSheetLayoutView="75" workbookViewId="0"/>
  </sheetViews>
  <sheetFormatPr baseColWidth="10" defaultColWidth="9" defaultRowHeight="12.75" customHeight="1"/>
  <cols>
    <col min="1" max="1" width="2.3984375" style="3" customWidth="1"/>
    <col min="2" max="2" width="20.5" style="2" customWidth="1"/>
    <col min="3" max="4" width="3.19921875" style="1" customWidth="1"/>
    <col min="5" max="16384" width="9" style="1"/>
  </cols>
  <sheetData>
    <row r="2" spans="1:11" s="24" customFormat="1" ht="12" customHeight="1">
      <c r="A2" s="18"/>
    </row>
    <row r="3" spans="1:11" s="24" customFormat="1" ht="13.2">
      <c r="A3" s="18"/>
    </row>
    <row r="4" spans="1:11" s="24" customFormat="1" ht="24.9" customHeight="1">
      <c r="A4" s="18"/>
      <c r="C4" s="30" t="s">
        <v>4</v>
      </c>
    </row>
    <row r="5" spans="1:11" s="24" customFormat="1" ht="24.9" customHeight="1">
      <c r="A5" s="18"/>
      <c r="C5" s="29" t="s">
        <v>3</v>
      </c>
      <c r="E5" s="28"/>
      <c r="F5" s="28"/>
      <c r="G5" s="28"/>
      <c r="H5" s="28"/>
      <c r="I5" s="28"/>
      <c r="J5" s="28"/>
      <c r="K5" s="27"/>
    </row>
    <row r="6" spans="1:11" s="24" customFormat="1" ht="13.2">
      <c r="A6" s="18"/>
      <c r="K6" s="25"/>
    </row>
    <row r="7" spans="1:11" s="24" customFormat="1" ht="13.2">
      <c r="A7" s="18"/>
      <c r="C7" s="26" t="s">
        <v>491</v>
      </c>
      <c r="D7" s="25"/>
      <c r="E7" s="25"/>
      <c r="F7" s="25"/>
      <c r="G7" s="25"/>
      <c r="H7" s="25"/>
      <c r="I7" s="25"/>
      <c r="J7" s="25"/>
      <c r="K7" s="25"/>
    </row>
    <row r="8" spans="1:11" s="24" customFormat="1" ht="13.2">
      <c r="A8" s="18"/>
    </row>
    <row r="9" spans="1:11" s="23" customFormat="1" ht="13.2">
      <c r="A9" s="18"/>
    </row>
    <row r="10" spans="1:11" s="18" customFormat="1" ht="12.75" customHeight="1"/>
    <row r="11" spans="1:11" s="18" customFormat="1" ht="21">
      <c r="C11" s="22" t="s">
        <v>2</v>
      </c>
      <c r="F11" s="19"/>
      <c r="G11" s="19"/>
      <c r="H11" s="19"/>
      <c r="J11" s="21"/>
    </row>
    <row r="12" spans="1:11" s="18" customFormat="1" ht="15" customHeight="1">
      <c r="C12" s="20" t="s">
        <v>1</v>
      </c>
      <c r="F12" s="19"/>
      <c r="G12" s="19"/>
      <c r="H12" s="19"/>
    </row>
    <row r="13" spans="1:11" s="18" customFormat="1" ht="15" customHeight="1">
      <c r="C13" s="581" t="s">
        <v>466</v>
      </c>
      <c r="F13" s="19"/>
      <c r="G13" s="19"/>
      <c r="H13" s="19"/>
    </row>
    <row r="15" spans="1:11" ht="15.6">
      <c r="C15" s="17" t="s">
        <v>445</v>
      </c>
    </row>
    <row r="16" spans="1:11" ht="12.75" customHeight="1">
      <c r="C16" s="16" t="s">
        <v>0</v>
      </c>
    </row>
    <row r="17" spans="1:16" ht="12.75" customHeight="1">
      <c r="C17" s="16" t="s">
        <v>467</v>
      </c>
    </row>
    <row r="19" spans="1:16" ht="12.75" customHeight="1">
      <c r="C19" s="17" t="s">
        <v>468</v>
      </c>
      <c r="M19" s="14"/>
      <c r="N19" s="15"/>
      <c r="O19" s="15"/>
      <c r="P19" s="15"/>
    </row>
    <row r="20" spans="1:16" ht="12.75" customHeight="1">
      <c r="C20" s="16" t="s">
        <v>469</v>
      </c>
      <c r="M20" s="14"/>
    </row>
    <row r="21" spans="1:16" ht="12.75" customHeight="1">
      <c r="C21" s="16" t="s">
        <v>470</v>
      </c>
      <c r="M21" s="14"/>
    </row>
    <row r="22" spans="1:16" ht="12.75" customHeight="1">
      <c r="M22" s="14"/>
    </row>
    <row r="23" spans="1:16" ht="12.75" customHeight="1">
      <c r="C23" s="17" t="s">
        <v>484</v>
      </c>
      <c r="M23" s="14"/>
    </row>
    <row r="24" spans="1:16" ht="12.75" customHeight="1">
      <c r="C24" s="16" t="s">
        <v>469</v>
      </c>
    </row>
    <row r="25" spans="1:16" ht="12.75" customHeight="1">
      <c r="A25" s="13"/>
      <c r="B25" s="12"/>
      <c r="C25" s="16" t="s">
        <v>485</v>
      </c>
    </row>
    <row r="26" spans="1:16" ht="12.75" customHeight="1">
      <c r="A26" s="11"/>
      <c r="B26" s="7"/>
    </row>
    <row r="27" spans="1:16" ht="12.75" customHeight="1">
      <c r="A27" s="11"/>
      <c r="B27" s="7"/>
      <c r="D27" s="9"/>
    </row>
    <row r="28" spans="1:16" ht="12.75" customHeight="1">
      <c r="A28" s="6"/>
      <c r="B28" s="5"/>
      <c r="D28" s="9"/>
    </row>
    <row r="29" spans="1:16" ht="12.75" customHeight="1">
      <c r="A29" s="6"/>
      <c r="B29" s="10"/>
      <c r="D29" s="9"/>
    </row>
    <row r="30" spans="1:16" ht="12.75" customHeight="1">
      <c r="A30" s="6"/>
      <c r="B30" s="5"/>
      <c r="D30" s="9"/>
    </row>
    <row r="31" spans="1:16" ht="12.75" customHeight="1">
      <c r="A31" s="6"/>
      <c r="B31" s="10"/>
    </row>
    <row r="32" spans="1:16" ht="12.75" customHeight="1">
      <c r="A32" s="6"/>
      <c r="B32" s="5"/>
      <c r="D32" s="9"/>
    </row>
    <row r="33" spans="1:4" ht="12.75" customHeight="1">
      <c r="A33" s="6"/>
      <c r="B33" s="10"/>
      <c r="D33" s="9"/>
    </row>
    <row r="34" spans="1:4" ht="12.75" customHeight="1">
      <c r="A34" s="8"/>
      <c r="B34" s="7"/>
    </row>
    <row r="35" spans="1:4" ht="12.75" customHeight="1">
      <c r="A35" s="6"/>
      <c r="B35" s="5"/>
    </row>
    <row r="36" spans="1:4" ht="12.75" customHeight="1">
      <c r="B36" s="4"/>
    </row>
  </sheetData>
  <pageMargins left="0.75" right="0.75" top="1" bottom="1" header="0.5" footer="0.5"/>
  <pageSetup scale="90" orientation="landscape" r:id="rId1"/>
  <headerFooter alignWithMargins="0"/>
  <customProperties>
    <customPr name="Qube.Worksheet.Visibility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24"/>
  </sheetPr>
  <dimension ref="A1:DY76"/>
  <sheetViews>
    <sheetView showGridLines="0" workbookViewId="0">
      <pane xSplit="1" ySplit="7" topLeftCell="CV30" activePane="bottomRight" state="frozen"/>
      <selection activeCell="CP7" sqref="CP7:CS7"/>
      <selection pane="topRight" activeCell="CP7" sqref="CP7:CS7"/>
      <selection pane="bottomLeft" activeCell="CP7" sqref="CP7:CS7"/>
      <selection pane="bottomRight" activeCell="DA31" sqref="DA31"/>
    </sheetView>
  </sheetViews>
  <sheetFormatPr baseColWidth="10" defaultColWidth="9" defaultRowHeight="11.4" outlineLevelCol="1"/>
  <cols>
    <col min="1" max="1" width="31" style="31" bestFit="1" customWidth="1"/>
    <col min="2" max="7" width="7.3984375" style="31" hidden="1" customWidth="1" outlineLevel="1"/>
    <col min="8" max="13" width="9.59765625" style="31" hidden="1" customWidth="1" outlineLevel="1"/>
    <col min="14" max="14" width="11" style="31" hidden="1" customWidth="1" outlineLevel="1" collapsed="1"/>
    <col min="15" max="15" width="11" style="31" hidden="1" customWidth="1" outlineLevel="1"/>
    <col min="16" max="16" width="11" style="31" customWidth="1" collapsed="1"/>
    <col min="17" max="19" width="11" style="32" customWidth="1"/>
    <col min="20" max="26" width="11" style="31" customWidth="1"/>
    <col min="27" max="27" width="7.3984375" style="31" customWidth="1"/>
    <col min="28" max="28" width="38.5" style="31" customWidth="1"/>
    <col min="29" max="75" width="8.8984375" style="31" hidden="1" customWidth="1" outlineLevel="1"/>
    <col min="76" max="76" width="11.19921875" style="31" hidden="1" customWidth="1" outlineLevel="1"/>
    <col min="77" max="77" width="8.8984375" style="31" hidden="1" customWidth="1" outlineLevel="1" collapsed="1"/>
    <col min="78" max="84" width="8.8984375" style="31" hidden="1" customWidth="1" outlineLevel="1"/>
    <col min="85" max="85" width="8.8984375" style="31" customWidth="1" collapsed="1"/>
    <col min="86" max="88" width="8.8984375" style="31" customWidth="1"/>
    <col min="89" max="128" width="10.19921875" style="31" customWidth="1"/>
    <col min="129" max="16384" width="9" style="31"/>
  </cols>
  <sheetData>
    <row r="1" spans="1:129" ht="42.75" customHeight="1">
      <c r="A1" s="142"/>
      <c r="B1" s="146"/>
      <c r="C1" s="145"/>
      <c r="D1" s="142"/>
      <c r="E1" s="144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  <c r="R1" s="143"/>
      <c r="S1" s="143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</row>
    <row r="2" spans="1:129" ht="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6"/>
      <c r="R2" s="136"/>
      <c r="S2" s="136"/>
      <c r="T2" s="130"/>
      <c r="U2" s="130"/>
      <c r="V2" s="130"/>
      <c r="W2" s="130"/>
      <c r="X2" s="130"/>
      <c r="Y2" s="130"/>
      <c r="Z2" s="130"/>
      <c r="AA2" s="135"/>
      <c r="AB2" s="134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1"/>
      <c r="AQ2" s="132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</row>
    <row r="3" spans="1:129" ht="22.8">
      <c r="A3" s="140" t="str">
        <f>'Title Page'!C4</f>
        <v>Credicorp, Inc. (BAP)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6"/>
      <c r="R3" s="136"/>
      <c r="S3" s="136"/>
      <c r="T3" s="130"/>
      <c r="U3" s="130"/>
      <c r="V3" s="130"/>
      <c r="W3" s="130"/>
      <c r="X3" s="130"/>
      <c r="Y3" s="130"/>
      <c r="Z3" s="130"/>
      <c r="AA3" s="135"/>
      <c r="AB3" s="134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1"/>
      <c r="AQ3" s="132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568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</row>
    <row r="4" spans="1:129" ht="15">
      <c r="A4" s="139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8"/>
      <c r="L4" s="138"/>
      <c r="M4" s="138"/>
      <c r="N4" s="138"/>
      <c r="O4" s="138"/>
      <c r="P4" s="138"/>
      <c r="Q4" s="136"/>
      <c r="R4" s="136"/>
      <c r="S4" s="136"/>
      <c r="T4" s="130"/>
      <c r="U4" s="130"/>
      <c r="V4" s="130"/>
      <c r="W4" s="130"/>
      <c r="X4" s="130"/>
      <c r="Y4" s="130"/>
      <c r="Z4" s="130"/>
      <c r="AA4" s="135"/>
      <c r="AB4" s="134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1"/>
      <c r="AQ4" s="132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</row>
    <row r="5" spans="1:129" ht="15">
      <c r="A5" s="137" t="s">
        <v>448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6"/>
      <c r="R5" s="136"/>
      <c r="S5" s="136"/>
      <c r="T5" s="130"/>
      <c r="U5" s="130"/>
      <c r="V5" s="130"/>
      <c r="W5" s="130"/>
      <c r="X5" s="130"/>
      <c r="Y5" s="130"/>
      <c r="Z5" s="130"/>
      <c r="AA5" s="135"/>
      <c r="AB5" s="134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1"/>
      <c r="AQ5" s="132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</row>
    <row r="6" spans="1:129" s="33" customFormat="1" ht="10.199999999999999">
      <c r="A6" s="97" t="s">
        <v>58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122"/>
      <c r="R6" s="122"/>
      <c r="S6" s="122"/>
      <c r="T6" s="121"/>
      <c r="U6" s="121"/>
      <c r="V6" s="121"/>
      <c r="W6" s="121"/>
      <c r="X6" s="121"/>
      <c r="Y6" s="121"/>
      <c r="Z6" s="121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U6" s="97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</row>
    <row r="7" spans="1:129" s="33" customFormat="1" ht="10.199999999999999">
      <c r="A7" s="126" t="s">
        <v>58</v>
      </c>
      <c r="B7" s="126">
        <v>1997</v>
      </c>
      <c r="C7" s="126">
        <v>1998</v>
      </c>
      <c r="D7" s="126">
        <v>1999</v>
      </c>
      <c r="E7" s="126">
        <v>2000</v>
      </c>
      <c r="F7" s="126">
        <v>2001</v>
      </c>
      <c r="G7" s="126">
        <v>2002</v>
      </c>
      <c r="H7" s="126">
        <v>2003</v>
      </c>
      <c r="I7" s="126">
        <v>2004</v>
      </c>
      <c r="J7" s="126">
        <v>2005</v>
      </c>
      <c r="K7" s="126">
        <v>2006</v>
      </c>
      <c r="L7" s="126">
        <v>2007</v>
      </c>
      <c r="M7" s="126">
        <v>2008</v>
      </c>
      <c r="N7" s="126">
        <v>2009</v>
      </c>
      <c r="O7" s="126">
        <v>2010</v>
      </c>
      <c r="P7" s="126">
        <v>2011</v>
      </c>
      <c r="Q7" s="129">
        <v>2012</v>
      </c>
      <c r="R7" s="129">
        <v>2013</v>
      </c>
      <c r="S7" s="129">
        <v>2014</v>
      </c>
      <c r="T7" s="125">
        <v>2015</v>
      </c>
      <c r="U7" s="123" t="s">
        <v>149</v>
      </c>
      <c r="V7" s="123" t="s">
        <v>148</v>
      </c>
      <c r="W7" s="123" t="s">
        <v>147</v>
      </c>
      <c r="X7" s="123" t="s">
        <v>146</v>
      </c>
      <c r="Y7" s="123" t="s">
        <v>463</v>
      </c>
      <c r="Z7" s="123" t="s">
        <v>478</v>
      </c>
      <c r="AA7" s="128"/>
      <c r="AB7" s="126"/>
      <c r="AC7" s="126" t="s">
        <v>145</v>
      </c>
      <c r="AD7" s="126" t="s">
        <v>144</v>
      </c>
      <c r="AE7" s="126" t="s">
        <v>143</v>
      </c>
      <c r="AF7" s="126" t="s">
        <v>142</v>
      </c>
      <c r="AG7" s="126" t="s">
        <v>141</v>
      </c>
      <c r="AH7" s="126" t="s">
        <v>140</v>
      </c>
      <c r="AI7" s="126" t="s">
        <v>139</v>
      </c>
      <c r="AJ7" s="126" t="s">
        <v>138</v>
      </c>
      <c r="AK7" s="126" t="s">
        <v>137</v>
      </c>
      <c r="AL7" s="126" t="s">
        <v>136</v>
      </c>
      <c r="AM7" s="126" t="s">
        <v>135</v>
      </c>
      <c r="AN7" s="126" t="s">
        <v>134</v>
      </c>
      <c r="AO7" s="126" t="s">
        <v>133</v>
      </c>
      <c r="AP7" s="126" t="s">
        <v>132</v>
      </c>
      <c r="AQ7" s="126" t="s">
        <v>131</v>
      </c>
      <c r="AR7" s="126" t="s">
        <v>130</v>
      </c>
      <c r="AS7" s="126" t="s">
        <v>129</v>
      </c>
      <c r="AT7" s="126" t="s">
        <v>128</v>
      </c>
      <c r="AU7" s="126" t="s">
        <v>127</v>
      </c>
      <c r="AV7" s="126" t="s">
        <v>126</v>
      </c>
      <c r="AW7" s="126" t="s">
        <v>125</v>
      </c>
      <c r="AX7" s="126" t="s">
        <v>124</v>
      </c>
      <c r="AY7" s="126" t="s">
        <v>123</v>
      </c>
      <c r="AZ7" s="126" t="s">
        <v>122</v>
      </c>
      <c r="BA7" s="126" t="s">
        <v>121</v>
      </c>
      <c r="BB7" s="126" t="s">
        <v>120</v>
      </c>
      <c r="BC7" s="126" t="s">
        <v>119</v>
      </c>
      <c r="BD7" s="126" t="s">
        <v>118</v>
      </c>
      <c r="BE7" s="126" t="s">
        <v>117</v>
      </c>
      <c r="BF7" s="126" t="s">
        <v>116</v>
      </c>
      <c r="BG7" s="126" t="s">
        <v>115</v>
      </c>
      <c r="BH7" s="126" t="s">
        <v>114</v>
      </c>
      <c r="BI7" s="126" t="s">
        <v>113</v>
      </c>
      <c r="BJ7" s="126" t="s">
        <v>112</v>
      </c>
      <c r="BK7" s="126" t="s">
        <v>111</v>
      </c>
      <c r="BL7" s="126" t="s">
        <v>110</v>
      </c>
      <c r="BM7" s="127" t="s">
        <v>109</v>
      </c>
      <c r="BN7" s="126" t="s">
        <v>108</v>
      </c>
      <c r="BO7" s="126" t="s">
        <v>107</v>
      </c>
      <c r="BP7" s="127" t="s">
        <v>106</v>
      </c>
      <c r="BQ7" s="126" t="s">
        <v>105</v>
      </c>
      <c r="BR7" s="126" t="s">
        <v>104</v>
      </c>
      <c r="BS7" s="127" t="s">
        <v>103</v>
      </c>
      <c r="BT7" s="126" t="s">
        <v>102</v>
      </c>
      <c r="BU7" s="126" t="s">
        <v>101</v>
      </c>
      <c r="BV7" s="127" t="s">
        <v>100</v>
      </c>
      <c r="BW7" s="126" t="s">
        <v>99</v>
      </c>
      <c r="BX7" s="126" t="s">
        <v>98</v>
      </c>
      <c r="BY7" s="126" t="s">
        <v>97</v>
      </c>
      <c r="BZ7" s="126" t="s">
        <v>96</v>
      </c>
      <c r="CA7" s="126" t="s">
        <v>95</v>
      </c>
      <c r="CB7" s="126" t="s">
        <v>94</v>
      </c>
      <c r="CC7" s="126" t="s">
        <v>93</v>
      </c>
      <c r="CD7" s="126" t="s">
        <v>92</v>
      </c>
      <c r="CE7" s="126" t="s">
        <v>91</v>
      </c>
      <c r="CF7" s="126" t="s">
        <v>90</v>
      </c>
      <c r="CG7" s="126" t="s">
        <v>89</v>
      </c>
      <c r="CH7" s="126" t="s">
        <v>88</v>
      </c>
      <c r="CI7" s="126" t="s">
        <v>87</v>
      </c>
      <c r="CJ7" s="126" t="s">
        <v>86</v>
      </c>
      <c r="CK7" s="126" t="s">
        <v>85</v>
      </c>
      <c r="CL7" s="126" t="s">
        <v>84</v>
      </c>
      <c r="CM7" s="126" t="s">
        <v>83</v>
      </c>
      <c r="CN7" s="126" t="s">
        <v>82</v>
      </c>
      <c r="CO7" s="125" t="s">
        <v>81</v>
      </c>
      <c r="CP7" s="125" t="s">
        <v>444</v>
      </c>
      <c r="CQ7" s="125" t="s">
        <v>446</v>
      </c>
      <c r="CR7" s="125" t="s">
        <v>447</v>
      </c>
      <c r="CS7" s="125" t="s">
        <v>458</v>
      </c>
      <c r="CT7" s="125" t="s">
        <v>464</v>
      </c>
      <c r="CU7" s="125" t="s">
        <v>471</v>
      </c>
      <c r="CV7" s="125" t="s">
        <v>472</v>
      </c>
      <c r="CW7" s="125" t="s">
        <v>479</v>
      </c>
      <c r="CX7" s="125" t="s">
        <v>480</v>
      </c>
      <c r="CY7" s="125" t="s">
        <v>483</v>
      </c>
      <c r="CZ7" s="125" t="s">
        <v>486</v>
      </c>
      <c r="DA7" s="123" t="s">
        <v>80</v>
      </c>
      <c r="DB7" s="123" t="s">
        <v>79</v>
      </c>
      <c r="DC7" s="124" t="s">
        <v>78</v>
      </c>
      <c r="DD7" s="123" t="s">
        <v>77</v>
      </c>
      <c r="DE7" s="123" t="s">
        <v>76</v>
      </c>
      <c r="DF7" s="123" t="s">
        <v>75</v>
      </c>
      <c r="DG7" s="124" t="s">
        <v>74</v>
      </c>
      <c r="DH7" s="123" t="s">
        <v>73</v>
      </c>
      <c r="DI7" s="123" t="s">
        <v>72</v>
      </c>
      <c r="DJ7" s="123" t="s">
        <v>71</v>
      </c>
      <c r="DK7" s="124" t="s">
        <v>70</v>
      </c>
      <c r="DL7" s="123" t="s">
        <v>69</v>
      </c>
      <c r="DM7" s="123" t="s">
        <v>68</v>
      </c>
      <c r="DN7" s="123" t="s">
        <v>67</v>
      </c>
      <c r="DO7" s="124" t="s">
        <v>66</v>
      </c>
      <c r="DP7" s="123" t="s">
        <v>65</v>
      </c>
      <c r="DQ7" s="123" t="s">
        <v>459</v>
      </c>
      <c r="DR7" s="123" t="s">
        <v>460</v>
      </c>
      <c r="DS7" s="124" t="s">
        <v>461</v>
      </c>
      <c r="DT7" s="123" t="s">
        <v>462</v>
      </c>
      <c r="DU7" s="123" t="s">
        <v>474</v>
      </c>
      <c r="DV7" s="123" t="s">
        <v>475</v>
      </c>
      <c r="DW7" s="124" t="s">
        <v>476</v>
      </c>
      <c r="DX7" s="123" t="s">
        <v>477</v>
      </c>
    </row>
    <row r="8" spans="1:129" s="33" customFormat="1" ht="10.199999999999999">
      <c r="A8" s="97" t="s">
        <v>58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122"/>
      <c r="R8" s="122"/>
      <c r="S8" s="122"/>
      <c r="T8" s="585"/>
      <c r="U8" s="121"/>
      <c r="V8" s="121"/>
      <c r="W8" s="121"/>
      <c r="X8" s="121"/>
      <c r="Y8" s="121"/>
      <c r="Z8" s="121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 t="s">
        <v>58</v>
      </c>
      <c r="BU8" s="97"/>
      <c r="BV8" s="97"/>
      <c r="BW8" s="97" t="s">
        <v>58</v>
      </c>
      <c r="BX8" s="97" t="s">
        <v>58</v>
      </c>
      <c r="BY8" s="97" t="s">
        <v>58</v>
      </c>
      <c r="BZ8" s="97" t="s">
        <v>58</v>
      </c>
      <c r="CA8" s="97" t="s">
        <v>58</v>
      </c>
      <c r="CB8" s="97" t="s">
        <v>58</v>
      </c>
      <c r="CC8" s="97" t="s">
        <v>58</v>
      </c>
      <c r="CD8" s="97" t="s">
        <v>58</v>
      </c>
      <c r="CE8" s="97" t="s">
        <v>58</v>
      </c>
      <c r="CF8" s="97" t="s">
        <v>58</v>
      </c>
      <c r="CG8" s="97" t="s">
        <v>58</v>
      </c>
      <c r="CH8" s="97" t="s">
        <v>58</v>
      </c>
      <c r="CI8" s="97" t="s">
        <v>58</v>
      </c>
      <c r="CJ8" s="97" t="s">
        <v>58</v>
      </c>
      <c r="CK8" s="97" t="s">
        <v>58</v>
      </c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</row>
    <row r="9" spans="1:129" s="33" customFormat="1" ht="10.199999999999999">
      <c r="A9" s="97" t="s">
        <v>58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122"/>
      <c r="R9" s="122"/>
      <c r="S9" s="122"/>
      <c r="T9" s="585"/>
      <c r="U9" s="121"/>
      <c r="V9" s="121"/>
      <c r="W9" s="121"/>
      <c r="X9" s="121"/>
      <c r="Y9" s="121"/>
      <c r="Z9" s="121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 t="s">
        <v>58</v>
      </c>
      <c r="BU9" s="97"/>
      <c r="BV9" s="97"/>
      <c r="BW9" s="97" t="s">
        <v>58</v>
      </c>
      <c r="BX9" s="97" t="s">
        <v>58</v>
      </c>
      <c r="BY9" s="97" t="s">
        <v>58</v>
      </c>
      <c r="BZ9" s="97" t="s">
        <v>58</v>
      </c>
      <c r="CA9" s="97" t="s">
        <v>58</v>
      </c>
      <c r="CB9" s="97" t="s">
        <v>58</v>
      </c>
      <c r="CC9" s="97" t="s">
        <v>58</v>
      </c>
      <c r="CD9" s="97" t="s">
        <v>58</v>
      </c>
      <c r="CE9" s="97" t="s">
        <v>58</v>
      </c>
      <c r="CF9" s="97" t="s">
        <v>58</v>
      </c>
      <c r="CG9" s="97" t="s">
        <v>58</v>
      </c>
      <c r="CH9" s="97" t="s">
        <v>58</v>
      </c>
      <c r="CI9" s="97" t="s">
        <v>58</v>
      </c>
      <c r="CJ9" s="97" t="s">
        <v>58</v>
      </c>
      <c r="CK9" s="97" t="s">
        <v>58</v>
      </c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</row>
    <row r="10" spans="1:129" s="33" customFormat="1" ht="10.199999999999999">
      <c r="A10" s="107" t="s">
        <v>64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20"/>
      <c r="R10" s="120"/>
      <c r="S10" s="120"/>
      <c r="T10" s="602"/>
      <c r="U10" s="119"/>
      <c r="V10" s="119"/>
      <c r="W10" s="119"/>
      <c r="X10" s="119"/>
      <c r="Y10" s="119"/>
      <c r="Z10" s="119"/>
      <c r="AA10" s="107"/>
      <c r="AB10" s="107" t="str">
        <f t="shared" ref="AB10:AB41" si="0">A10</f>
        <v>Interest income and expense</v>
      </c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118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</row>
    <row r="11" spans="1:129" s="33" customFormat="1" ht="10.199999999999999">
      <c r="A11" s="102" t="s">
        <v>63</v>
      </c>
      <c r="B11" s="102"/>
      <c r="C11" s="102"/>
      <c r="D11" s="102"/>
      <c r="E11" s="102"/>
      <c r="F11" s="102"/>
      <c r="G11" s="102"/>
      <c r="H11" s="105"/>
      <c r="I11" s="105"/>
      <c r="J11" s="105"/>
      <c r="K11" s="105"/>
      <c r="L11" s="105"/>
      <c r="M11" s="105"/>
      <c r="N11" s="105">
        <f>SUM(BY11:CB11)</f>
        <v>3968602.6286095791</v>
      </c>
      <c r="O11" s="105">
        <f>SUM(CC11:CF11)</f>
        <v>4090082.3081440795</v>
      </c>
      <c r="P11" s="105">
        <f>SUM(CG11:CJ11)</f>
        <v>5055238.4557967195</v>
      </c>
      <c r="Q11" s="104">
        <f>SUM(CK11:CN11)</f>
        <v>6079274.019789042</v>
      </c>
      <c r="R11" s="104">
        <f>SUM(CO11:CR11)</f>
        <v>7024029.8106642906</v>
      </c>
      <c r="S11" s="104">
        <f>SUM(CS11:CV11)</f>
        <v>8552504</v>
      </c>
      <c r="T11" s="598">
        <f>SUM(CW11:CZ11)</f>
        <v>10022945</v>
      </c>
      <c r="U11" s="103">
        <f>SUM(DA11:DD11)</f>
        <v>12077642.207013313</v>
      </c>
      <c r="V11" s="103">
        <f>SUM(DE11:DH11)</f>
        <v>13223777.799015757</v>
      </c>
      <c r="W11" s="103">
        <f>SUM(DI11:DL11)</f>
        <v>14345212.840468192</v>
      </c>
      <c r="X11" s="103">
        <f>SUM(DM11:DP11)</f>
        <v>15725022.479405621</v>
      </c>
      <c r="Y11" s="103">
        <f>SUM(DQ11:DT11)</f>
        <v>17341544.778863009</v>
      </c>
      <c r="Z11" s="103">
        <f>SUM(DU11:DX11)</f>
        <v>19241526.971062858</v>
      </c>
      <c r="AB11" s="102" t="str">
        <f t="shared" si="0"/>
        <v>Interest and dividend income</v>
      </c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10">
        <v>1040787.0947143402</v>
      </c>
      <c r="BZ11" s="110">
        <v>1028904.2835035796</v>
      </c>
      <c r="CA11" s="110">
        <v>945331.32673563762</v>
      </c>
      <c r="CB11" s="110">
        <v>953579.92365602148</v>
      </c>
      <c r="CC11" s="110">
        <v>947634.2679723301</v>
      </c>
      <c r="CD11" s="110">
        <v>976979.01322715986</v>
      </c>
      <c r="CE11" s="110">
        <v>1049506.2771876203</v>
      </c>
      <c r="CF11" s="110">
        <v>1115962.7497569695</v>
      </c>
      <c r="CG11" s="110">
        <v>1200230.2003320302</v>
      </c>
      <c r="CH11" s="110">
        <v>1225207.8500443499</v>
      </c>
      <c r="CI11" s="110">
        <v>1279923.6337589994</v>
      </c>
      <c r="CJ11" s="110">
        <v>1349876.7716613403</v>
      </c>
      <c r="CK11" s="110">
        <v>1404728.2494441499</v>
      </c>
      <c r="CL11" s="110">
        <v>1496240.9391634606</v>
      </c>
      <c r="CM11" s="110">
        <v>1563467.6635485897</v>
      </c>
      <c r="CN11" s="110">
        <v>1614837.1676328413</v>
      </c>
      <c r="CO11" s="110">
        <v>1666753.4923186598</v>
      </c>
      <c r="CP11" s="110">
        <v>1719354.18078032</v>
      </c>
      <c r="CQ11" s="110">
        <v>1811974.0134670765</v>
      </c>
      <c r="CR11" s="110">
        <v>1825948.1240982353</v>
      </c>
      <c r="CS11" s="110">
        <v>1876180</v>
      </c>
      <c r="CT11" s="110">
        <v>2144737</v>
      </c>
      <c r="CU11" s="110">
        <v>2248936</v>
      </c>
      <c r="CV11" s="110">
        <v>2282651</v>
      </c>
      <c r="CW11" s="110">
        <v>2377217</v>
      </c>
      <c r="CX11" s="110">
        <v>2457521</v>
      </c>
      <c r="CY11" s="110">
        <v>2517964</v>
      </c>
      <c r="CZ11" s="110">
        <v>2670243</v>
      </c>
      <c r="DA11" s="108">
        <f t="shared" ref="DA11:DP11" si="1">DA60</f>
        <v>2849284.5162687032</v>
      </c>
      <c r="DB11" s="108">
        <f t="shared" si="1"/>
        <v>2959928.4195245621</v>
      </c>
      <c r="DC11" s="108">
        <f t="shared" si="1"/>
        <v>3083998.1283764066</v>
      </c>
      <c r="DD11" s="108">
        <f t="shared" si="1"/>
        <v>3184431.1428436413</v>
      </c>
      <c r="DE11" s="108">
        <f t="shared" si="1"/>
        <v>3226934.5190215479</v>
      </c>
      <c r="DF11" s="108">
        <f t="shared" si="1"/>
        <v>3263291.212724058</v>
      </c>
      <c r="DG11" s="108">
        <f t="shared" si="1"/>
        <v>3331840.4165091496</v>
      </c>
      <c r="DH11" s="108">
        <f t="shared" si="1"/>
        <v>3401711.6507609999</v>
      </c>
      <c r="DI11" s="108">
        <f t="shared" si="1"/>
        <v>3447855.4262507912</v>
      </c>
      <c r="DJ11" s="108">
        <f t="shared" si="1"/>
        <v>3548271.9169010422</v>
      </c>
      <c r="DK11" s="108">
        <f t="shared" si="1"/>
        <v>3624486.3918907521</v>
      </c>
      <c r="DL11" s="108">
        <f t="shared" si="1"/>
        <v>3724599.105425606</v>
      </c>
      <c r="DM11" s="108">
        <f t="shared" si="1"/>
        <v>3796489.3781900634</v>
      </c>
      <c r="DN11" s="108">
        <f t="shared" si="1"/>
        <v>3886061.0314470446</v>
      </c>
      <c r="DO11" s="108">
        <f t="shared" si="1"/>
        <v>3970723.4103638236</v>
      </c>
      <c r="DP11" s="108">
        <f t="shared" si="1"/>
        <v>4071748.6594046894</v>
      </c>
      <c r="DQ11" s="108">
        <f t="shared" ref="DQ11:DT11" si="2">DQ60</f>
        <v>4165385.3142727767</v>
      </c>
      <c r="DR11" s="108">
        <f t="shared" si="2"/>
        <v>4280480.4848897262</v>
      </c>
      <c r="DS11" s="108">
        <f t="shared" si="2"/>
        <v>4388425.621047575</v>
      </c>
      <c r="DT11" s="108">
        <f t="shared" si="2"/>
        <v>4507253.3586529298</v>
      </c>
      <c r="DU11" s="108">
        <f t="shared" ref="DU11:DX11" si="3">DU60</f>
        <v>4615068.4437413197</v>
      </c>
      <c r="DV11" s="108">
        <f t="shared" si="3"/>
        <v>4747277.3282195395</v>
      </c>
      <c r="DW11" s="108">
        <f t="shared" si="3"/>
        <v>4871705.314168904</v>
      </c>
      <c r="DX11" s="108">
        <f t="shared" si="3"/>
        <v>5007475.8849330964</v>
      </c>
    </row>
    <row r="12" spans="1:129" s="33" customFormat="1" ht="10.199999999999999">
      <c r="A12" s="102" t="s">
        <v>6</v>
      </c>
      <c r="B12" s="102"/>
      <c r="C12" s="102"/>
      <c r="D12" s="102"/>
      <c r="E12" s="102"/>
      <c r="F12" s="102"/>
      <c r="G12" s="102"/>
      <c r="H12" s="105"/>
      <c r="I12" s="105"/>
      <c r="J12" s="105"/>
      <c r="K12" s="105"/>
      <c r="L12" s="105"/>
      <c r="M12" s="105"/>
      <c r="N12" s="105">
        <f>SUM(BY12:CB12)</f>
        <v>-1259647.2527873302</v>
      </c>
      <c r="O12" s="105">
        <f>SUM(CC12:CF12)</f>
        <v>-1102769.8120726799</v>
      </c>
      <c r="P12" s="105">
        <f>SUM(CG12:CJ12)</f>
        <v>-1462029.80933708</v>
      </c>
      <c r="Q12" s="104">
        <f>SUM(CK12:CN12)</f>
        <v>-1836718.1015462801</v>
      </c>
      <c r="R12" s="104">
        <f>SUM(CO12:CR12)</f>
        <v>-2059479.2622328321</v>
      </c>
      <c r="S12" s="104">
        <f>SUM(CS12:CV12)</f>
        <v>-2142699</v>
      </c>
      <c r="T12" s="598">
        <f>SUM(CW12:CZ12)</f>
        <v>-2558049</v>
      </c>
      <c r="U12" s="103">
        <f ca="1">SUM(DA12:DD12)</f>
        <v>-3862920.0766927791</v>
      </c>
      <c r="V12" s="103">
        <f ca="1">SUM(DE12:DH12)</f>
        <v>-4177564.6431348892</v>
      </c>
      <c r="W12" s="103">
        <f ca="1">SUM(DI12:DL12)</f>
        <v>-4300936.7964258492</v>
      </c>
      <c r="X12" s="103">
        <f ca="1">SUM(DM12:DP12)</f>
        <v>-4601658.8064866606</v>
      </c>
      <c r="Y12" s="103">
        <f ca="1">SUM(DQ12:DT12)</f>
        <v>-4895092.257410829</v>
      </c>
      <c r="Z12" s="103">
        <f ca="1">SUM(DU12:DX12)</f>
        <v>-5276506.3053032411</v>
      </c>
      <c r="AB12" s="102" t="str">
        <f t="shared" si="0"/>
        <v>Interest expense</v>
      </c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10">
        <v>-383245.31433752005</v>
      </c>
      <c r="BZ12" s="110">
        <v>-328378.84080742986</v>
      </c>
      <c r="CA12" s="110">
        <v>-282539.1918167799</v>
      </c>
      <c r="CB12" s="110">
        <v>-265483.90582560026</v>
      </c>
      <c r="CC12" s="110">
        <v>-248218.37507595</v>
      </c>
      <c r="CD12" s="110">
        <v>-243184.42455987999</v>
      </c>
      <c r="CE12" s="110">
        <v>-288902.90899544989</v>
      </c>
      <c r="CF12" s="110">
        <v>-322464.10344140005</v>
      </c>
      <c r="CG12" s="110">
        <v>-336740.23356973997</v>
      </c>
      <c r="CH12" s="110">
        <v>-362600.92391103006</v>
      </c>
      <c r="CI12" s="110">
        <v>-372445.94119165</v>
      </c>
      <c r="CJ12" s="110">
        <v>-390242.71066466003</v>
      </c>
      <c r="CK12" s="110">
        <v>-408042.59399838001</v>
      </c>
      <c r="CL12" s="110">
        <v>-443542.76195493992</v>
      </c>
      <c r="CM12" s="110">
        <v>-478821.04368837009</v>
      </c>
      <c r="CN12" s="110">
        <v>-506311.70190458989</v>
      </c>
      <c r="CO12" s="110">
        <v>-502138.69950704998</v>
      </c>
      <c r="CP12" s="110">
        <v>-520406.83070258005</v>
      </c>
      <c r="CQ12" s="110">
        <v>-530407.48657226551</v>
      </c>
      <c r="CR12" s="110">
        <v>-506526.24545093661</v>
      </c>
      <c r="CS12" s="110">
        <v>-474457</v>
      </c>
      <c r="CT12" s="110">
        <v>-534237</v>
      </c>
      <c r="CU12" s="110">
        <v>-562752</v>
      </c>
      <c r="CV12" s="110">
        <v>-571253</v>
      </c>
      <c r="CW12" s="110">
        <v>-591854</v>
      </c>
      <c r="CX12" s="110">
        <v>-620321</v>
      </c>
      <c r="CY12" s="110">
        <v>-651071</v>
      </c>
      <c r="CZ12" s="110">
        <v>-694803</v>
      </c>
      <c r="DA12" s="108">
        <f t="shared" ref="DA12:DX12" ca="1" si="4">-DA70</f>
        <v>-856565.57785951591</v>
      </c>
      <c r="DB12" s="108">
        <f t="shared" ca="1" si="4"/>
        <v>-945339.74148634623</v>
      </c>
      <c r="DC12" s="108">
        <f t="shared" ca="1" si="4"/>
        <v>-1006824.3351040457</v>
      </c>
      <c r="DD12" s="108">
        <f t="shared" ca="1" si="4"/>
        <v>-1054190.422242871</v>
      </c>
      <c r="DE12" s="108">
        <f t="shared" ca="1" si="4"/>
        <v>-1049619.475874525</v>
      </c>
      <c r="DF12" s="108">
        <f t="shared" ca="1" si="4"/>
        <v>-1028625.6347763781</v>
      </c>
      <c r="DG12" s="108">
        <f t="shared" ca="1" si="4"/>
        <v>-1048263.2829178105</v>
      </c>
      <c r="DH12" s="108">
        <f t="shared" ca="1" si="4"/>
        <v>-1051056.2495661755</v>
      </c>
      <c r="DI12" s="108">
        <f t="shared" ca="1" si="4"/>
        <v>-1065513.7987399548</v>
      </c>
      <c r="DJ12" s="108">
        <f t="shared" ca="1" si="4"/>
        <v>-1071901.9660925323</v>
      </c>
      <c r="DK12" s="108">
        <f t="shared" ca="1" si="4"/>
        <v>-1081347.1902626075</v>
      </c>
      <c r="DL12" s="108">
        <f t="shared" ca="1" si="4"/>
        <v>-1082173.8413307548</v>
      </c>
      <c r="DM12" s="108">
        <f t="shared" ca="1" si="4"/>
        <v>-1116783.9187965211</v>
      </c>
      <c r="DN12" s="108">
        <f t="shared" ca="1" si="4"/>
        <v>-1144651.811761921</v>
      </c>
      <c r="DO12" s="108">
        <f t="shared" ca="1" si="4"/>
        <v>-1164667.0142833858</v>
      </c>
      <c r="DP12" s="108">
        <f t="shared" ca="1" si="4"/>
        <v>-1175556.0616448331</v>
      </c>
      <c r="DQ12" s="108">
        <f t="shared" ca="1" si="4"/>
        <v>-1194297.0331348577</v>
      </c>
      <c r="DR12" s="108">
        <f t="shared" ca="1" si="4"/>
        <v>-1214214.3079620572</v>
      </c>
      <c r="DS12" s="108">
        <f t="shared" ca="1" si="4"/>
        <v>-1235715.7499183656</v>
      </c>
      <c r="DT12" s="108">
        <f t="shared" ca="1" si="4"/>
        <v>-1250865.1663955487</v>
      </c>
      <c r="DU12" s="108">
        <f t="shared" ca="1" si="4"/>
        <v>-1283135.8838909259</v>
      </c>
      <c r="DV12" s="108">
        <f t="shared" ca="1" si="4"/>
        <v>-1307871.5052093219</v>
      </c>
      <c r="DW12" s="108">
        <f t="shared" ca="1" si="4"/>
        <v>-1333378.1137474221</v>
      </c>
      <c r="DX12" s="108">
        <f t="shared" ca="1" si="4"/>
        <v>-1352120.8024555712</v>
      </c>
      <c r="DY12" s="108"/>
    </row>
    <row r="13" spans="1:129" s="33" customFormat="1" ht="10.199999999999999">
      <c r="A13" s="107" t="s">
        <v>62</v>
      </c>
      <c r="B13" s="107"/>
      <c r="C13" s="107"/>
      <c r="D13" s="107"/>
      <c r="E13" s="107"/>
      <c r="F13" s="107"/>
      <c r="G13" s="107"/>
      <c r="H13" s="101"/>
      <c r="I13" s="101"/>
      <c r="J13" s="101"/>
      <c r="K13" s="101"/>
      <c r="L13" s="101"/>
      <c r="M13" s="101"/>
      <c r="N13" s="101">
        <f t="shared" ref="N13:X13" si="5">N11+N12</f>
        <v>2708955.3758222489</v>
      </c>
      <c r="O13" s="101">
        <f t="shared" si="5"/>
        <v>2987312.4960713997</v>
      </c>
      <c r="P13" s="101">
        <f t="shared" si="5"/>
        <v>3593208.6464596395</v>
      </c>
      <c r="Q13" s="100">
        <f t="shared" si="5"/>
        <v>4242555.9182427619</v>
      </c>
      <c r="R13" s="100">
        <f t="shared" si="5"/>
        <v>4964550.548431458</v>
      </c>
      <c r="S13" s="100">
        <f t="shared" si="5"/>
        <v>6409805</v>
      </c>
      <c r="T13" s="117">
        <f t="shared" si="5"/>
        <v>7464896</v>
      </c>
      <c r="U13" s="99">
        <f t="shared" ca="1" si="5"/>
        <v>8214722.1303205341</v>
      </c>
      <c r="V13" s="99">
        <f t="shared" ca="1" si="5"/>
        <v>9046213.1558808684</v>
      </c>
      <c r="W13" s="99">
        <f t="shared" ca="1" si="5"/>
        <v>10044276.044042343</v>
      </c>
      <c r="X13" s="99">
        <f t="shared" ca="1" si="5"/>
        <v>11123363.67291896</v>
      </c>
      <c r="Y13" s="99">
        <f t="shared" ref="Y13:Z13" ca="1" si="6">Y11+Y12</f>
        <v>12446452.521452181</v>
      </c>
      <c r="Z13" s="99">
        <f t="shared" ca="1" si="6"/>
        <v>13965020.665759616</v>
      </c>
      <c r="AB13" s="107" t="str">
        <f t="shared" si="0"/>
        <v>Net interest and dividend income</v>
      </c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1">
        <f t="shared" ref="BY13:CQ13" si="7">BY11+BY12</f>
        <v>657541.78037682013</v>
      </c>
      <c r="BZ13" s="101">
        <f t="shared" si="7"/>
        <v>700525.44269614969</v>
      </c>
      <c r="CA13" s="101">
        <f t="shared" si="7"/>
        <v>662792.13491885772</v>
      </c>
      <c r="CB13" s="101">
        <f t="shared" si="7"/>
        <v>688096.01783042122</v>
      </c>
      <c r="CC13" s="101">
        <f t="shared" si="7"/>
        <v>699415.89289638004</v>
      </c>
      <c r="CD13" s="101">
        <f t="shared" si="7"/>
        <v>733794.58866727981</v>
      </c>
      <c r="CE13" s="101">
        <f t="shared" si="7"/>
        <v>760603.3681921704</v>
      </c>
      <c r="CF13" s="101">
        <f t="shared" si="7"/>
        <v>793498.64631556952</v>
      </c>
      <c r="CG13" s="101">
        <f t="shared" si="7"/>
        <v>863489.96676229022</v>
      </c>
      <c r="CH13" s="101">
        <f t="shared" si="7"/>
        <v>862606.92613331985</v>
      </c>
      <c r="CI13" s="101">
        <f t="shared" si="7"/>
        <v>907477.69256734941</v>
      </c>
      <c r="CJ13" s="101">
        <f t="shared" si="7"/>
        <v>959634.06099668029</v>
      </c>
      <c r="CK13" s="101">
        <f t="shared" si="7"/>
        <v>996685.65544576989</v>
      </c>
      <c r="CL13" s="101">
        <f t="shared" si="7"/>
        <v>1052698.1772085207</v>
      </c>
      <c r="CM13" s="101">
        <f t="shared" si="7"/>
        <v>1084646.6198602195</v>
      </c>
      <c r="CN13" s="101">
        <f t="shared" si="7"/>
        <v>1108525.4657282513</v>
      </c>
      <c r="CO13" s="117">
        <f t="shared" si="7"/>
        <v>1164614.7928116098</v>
      </c>
      <c r="CP13" s="117">
        <f t="shared" si="7"/>
        <v>1198947.3500777399</v>
      </c>
      <c r="CQ13" s="117">
        <f t="shared" si="7"/>
        <v>1281566.5268948111</v>
      </c>
      <c r="CR13" s="117">
        <f t="shared" ref="CR13" si="8">CR11+CR12</f>
        <v>1319421.8786472986</v>
      </c>
      <c r="CS13" s="117">
        <f t="shared" ref="CS13:DP13" si="9">CS11+CS12</f>
        <v>1401723</v>
      </c>
      <c r="CT13" s="117">
        <f t="shared" si="9"/>
        <v>1610500</v>
      </c>
      <c r="CU13" s="117">
        <f t="shared" ref="CU13:CV13" si="10">CU11+CU12</f>
        <v>1686184</v>
      </c>
      <c r="CV13" s="117">
        <f t="shared" si="10"/>
        <v>1711398</v>
      </c>
      <c r="CW13" s="117">
        <f t="shared" ref="CW13:CZ13" si="11">CW11+CW12</f>
        <v>1785363</v>
      </c>
      <c r="CX13" s="117">
        <f t="shared" si="11"/>
        <v>1837200</v>
      </c>
      <c r="CY13" s="117">
        <f t="shared" si="11"/>
        <v>1866893</v>
      </c>
      <c r="CZ13" s="117">
        <f t="shared" si="11"/>
        <v>1975440</v>
      </c>
      <c r="DA13" s="99">
        <f t="shared" ca="1" si="9"/>
        <v>1992718.9384091874</v>
      </c>
      <c r="DB13" s="99">
        <f t="shared" ca="1" si="9"/>
        <v>2014588.6780382157</v>
      </c>
      <c r="DC13" s="99">
        <f t="shared" ca="1" si="9"/>
        <v>2077173.7932723609</v>
      </c>
      <c r="DD13" s="99">
        <f t="shared" ca="1" si="9"/>
        <v>2130240.7206007703</v>
      </c>
      <c r="DE13" s="99">
        <f t="shared" ca="1" si="9"/>
        <v>2177315.0431470228</v>
      </c>
      <c r="DF13" s="99">
        <f t="shared" ca="1" si="9"/>
        <v>2234665.5779476799</v>
      </c>
      <c r="DG13" s="99">
        <f t="shared" ca="1" si="9"/>
        <v>2283577.133591339</v>
      </c>
      <c r="DH13" s="99">
        <f t="shared" ca="1" si="9"/>
        <v>2350655.4011948244</v>
      </c>
      <c r="DI13" s="99">
        <f t="shared" ca="1" si="9"/>
        <v>2382341.6275108363</v>
      </c>
      <c r="DJ13" s="99">
        <f t="shared" ca="1" si="9"/>
        <v>2476369.9508085102</v>
      </c>
      <c r="DK13" s="99">
        <f t="shared" ca="1" si="9"/>
        <v>2543139.2016281448</v>
      </c>
      <c r="DL13" s="99">
        <f t="shared" ca="1" si="9"/>
        <v>2642425.264094851</v>
      </c>
      <c r="DM13" s="99">
        <f t="shared" ca="1" si="9"/>
        <v>2679705.4593935423</v>
      </c>
      <c r="DN13" s="99">
        <f t="shared" ca="1" si="9"/>
        <v>2741409.2196851233</v>
      </c>
      <c r="DO13" s="99">
        <f t="shared" ca="1" si="9"/>
        <v>2806056.396080438</v>
      </c>
      <c r="DP13" s="99">
        <f t="shared" ca="1" si="9"/>
        <v>2896192.5977598564</v>
      </c>
      <c r="DQ13" s="99">
        <f t="shared" ref="DQ13:DT13" ca="1" si="12">DQ11+DQ12</f>
        <v>2971088.2811379191</v>
      </c>
      <c r="DR13" s="99">
        <f t="shared" ca="1" si="12"/>
        <v>3066266.176927669</v>
      </c>
      <c r="DS13" s="99">
        <f t="shared" ca="1" si="12"/>
        <v>3152709.8711292092</v>
      </c>
      <c r="DT13" s="99">
        <f t="shared" ca="1" si="12"/>
        <v>3256388.192257381</v>
      </c>
      <c r="DU13" s="99">
        <f t="shared" ref="DU13:DX13" ca="1" si="13">DU11+DU12</f>
        <v>3331932.5598503938</v>
      </c>
      <c r="DV13" s="99">
        <f t="shared" ca="1" si="13"/>
        <v>3439405.8230102174</v>
      </c>
      <c r="DW13" s="99">
        <f t="shared" ca="1" si="13"/>
        <v>3538327.2004214819</v>
      </c>
      <c r="DX13" s="99">
        <f t="shared" ca="1" si="13"/>
        <v>3655355.0824775249</v>
      </c>
    </row>
    <row r="14" spans="1:129" s="33" customFormat="1" ht="10.199999999999999">
      <c r="A14" s="102" t="s">
        <v>61</v>
      </c>
      <c r="B14" s="102"/>
      <c r="C14" s="102"/>
      <c r="D14" s="102"/>
      <c r="E14" s="102"/>
      <c r="F14" s="102"/>
      <c r="G14" s="102"/>
      <c r="H14" s="105"/>
      <c r="I14" s="105"/>
      <c r="J14" s="105"/>
      <c r="K14" s="105"/>
      <c r="L14" s="105"/>
      <c r="M14" s="105"/>
      <c r="N14" s="105">
        <f>SUM(BY14:CB14)</f>
        <v>-488443.58787012991</v>
      </c>
      <c r="O14" s="105">
        <f>SUM(CC14:CF14)</f>
        <v>-493265.54853222985</v>
      </c>
      <c r="P14" s="105">
        <f>SUM(CG14:CJ14)</f>
        <v>-590413.79445976007</v>
      </c>
      <c r="Q14" s="104">
        <f>SUM(CK14:CN14)</f>
        <v>-993994.40157620003</v>
      </c>
      <c r="R14" s="104">
        <f>SUM(CO14:CR14)</f>
        <v>-1238278.76875887</v>
      </c>
      <c r="S14" s="104">
        <f>SUM(CS14:CV14)</f>
        <v>-1715808</v>
      </c>
      <c r="T14" s="598">
        <f>SUM(CW14:CZ14)</f>
        <v>-1880898</v>
      </c>
      <c r="U14" s="103">
        <f>SUM(DA14:DD14)</f>
        <v>-2127804.7632935774</v>
      </c>
      <c r="V14" s="103">
        <f>SUM(DE14:DH14)</f>
        <v>-2345298.9204780823</v>
      </c>
      <c r="W14" s="103">
        <f>SUM(DI14:DL14)</f>
        <v>-2607770.3763920222</v>
      </c>
      <c r="X14" s="103">
        <f>SUM(DM14:DP14)</f>
        <v>-2869297.8828940373</v>
      </c>
      <c r="Y14" s="103">
        <f>SUM(DQ14:DT14)</f>
        <v>-3191997.8947992902</v>
      </c>
      <c r="Z14" s="103">
        <f>SUM(DU14:DX14)</f>
        <v>-3556851.1150407363</v>
      </c>
      <c r="AB14" s="102" t="str">
        <f t="shared" si="0"/>
        <v>Provision for loan losses</v>
      </c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10">
        <v>-84560.744513109981</v>
      </c>
      <c r="BZ14" s="110">
        <v>-164034.91117445996</v>
      </c>
      <c r="CA14" s="110">
        <v>-112505.65518864003</v>
      </c>
      <c r="CB14" s="110">
        <v>-127342.27699391992</v>
      </c>
      <c r="CC14" s="110">
        <v>-122935.77810531002</v>
      </c>
      <c r="CD14" s="110">
        <v>-87720.559115300013</v>
      </c>
      <c r="CE14" s="110">
        <v>-146661.44780797008</v>
      </c>
      <c r="CF14" s="110">
        <v>-135947.76350364974</v>
      </c>
      <c r="CG14" s="110">
        <v>-115631.90411984999</v>
      </c>
      <c r="CH14" s="110">
        <v>-167319.16343073003</v>
      </c>
      <c r="CI14" s="110">
        <v>-117225.98226632993</v>
      </c>
      <c r="CJ14" s="110">
        <v>-190236.74464285013</v>
      </c>
      <c r="CK14" s="110">
        <v>-186342.08534063</v>
      </c>
      <c r="CL14" s="110">
        <v>-296033.66412692005</v>
      </c>
      <c r="CM14" s="110">
        <v>-246459.67143465998</v>
      </c>
      <c r="CN14" s="110">
        <v>-265158.98067398998</v>
      </c>
      <c r="CO14" s="110">
        <v>-244985.13385764998</v>
      </c>
      <c r="CP14" s="110">
        <v>-313032.71908677998</v>
      </c>
      <c r="CQ14" s="110">
        <v>-331279.61296272022</v>
      </c>
      <c r="CR14" s="110">
        <v>-348981.30285171978</v>
      </c>
      <c r="CS14" s="110">
        <v>-364600</v>
      </c>
      <c r="CT14" s="110">
        <v>-480731</v>
      </c>
      <c r="CU14" s="110">
        <v>-433219</v>
      </c>
      <c r="CV14" s="110">
        <v>-437258</v>
      </c>
      <c r="CW14" s="110">
        <v>-502136</v>
      </c>
      <c r="CX14" s="110">
        <v>-431763</v>
      </c>
      <c r="CY14" s="110">
        <v>-444425</v>
      </c>
      <c r="CZ14" s="110">
        <v>-502574</v>
      </c>
      <c r="DA14" s="108">
        <f>'Balance Sheet'!DA75</f>
        <v>-510949.97870269505</v>
      </c>
      <c r="DB14" s="108">
        <f>'Balance Sheet'!DB75</f>
        <v>-532472.25932185189</v>
      </c>
      <c r="DC14" s="108">
        <f>'Balance Sheet'!DC75</f>
        <v>-535777.17342262948</v>
      </c>
      <c r="DD14" s="108">
        <f>'Balance Sheet'!DD75</f>
        <v>-548605.35184640065</v>
      </c>
      <c r="DE14" s="108">
        <f>'Balance Sheet'!DE75</f>
        <v>-554482.61499166186</v>
      </c>
      <c r="DF14" s="108">
        <f>'Balance Sheet'!DF75</f>
        <v>-572168.63707994064</v>
      </c>
      <c r="DG14" s="108">
        <f>'Balance Sheet'!DG75</f>
        <v>-593352.04203578969</v>
      </c>
      <c r="DH14" s="108">
        <f>'Balance Sheet'!DH75</f>
        <v>-625295.62637068983</v>
      </c>
      <c r="DI14" s="108">
        <f>'Balance Sheet'!DI75</f>
        <v>-634848.65952753008</v>
      </c>
      <c r="DJ14" s="108">
        <f>'Balance Sheet'!DJ75</f>
        <v>-649536.01421643305</v>
      </c>
      <c r="DK14" s="108">
        <f>'Balance Sheet'!DK75</f>
        <v>-655298.7195344331</v>
      </c>
      <c r="DL14" s="108">
        <f>'Balance Sheet'!DL75</f>
        <v>-668086.98311362613</v>
      </c>
      <c r="DM14" s="108">
        <f>'Balance Sheet'!DM75</f>
        <v>-679739.42145097943</v>
      </c>
      <c r="DN14" s="108">
        <f>'Balance Sheet'!DN75</f>
        <v>-706210.39837791258</v>
      </c>
      <c r="DO14" s="108">
        <f>'Balance Sheet'!DO75</f>
        <v>-727448.66479108669</v>
      </c>
      <c r="DP14" s="108">
        <f>'Balance Sheet'!DP75</f>
        <v>-755899.39827405848</v>
      </c>
      <c r="DQ14" s="108">
        <f>'Balance Sheet'!DQ75</f>
        <v>-764375.690181755</v>
      </c>
      <c r="DR14" s="108">
        <f>'Balance Sheet'!DR75</f>
        <v>-785423.04261311493</v>
      </c>
      <c r="DS14" s="108">
        <f>'Balance Sheet'!DS75</f>
        <v>-804770.80496325565</v>
      </c>
      <c r="DT14" s="108">
        <f>'Balance Sheet'!DT75</f>
        <v>-837428.35704116488</v>
      </c>
      <c r="DU14" s="108">
        <f>'Balance Sheet'!DU75</f>
        <v>-841573.22193123586</v>
      </c>
      <c r="DV14" s="108">
        <f>'Balance Sheet'!DV75</f>
        <v>-870168.58605870709</v>
      </c>
      <c r="DW14" s="108">
        <f>'Balance Sheet'!DW75</f>
        <v>-906263.53643260908</v>
      </c>
      <c r="DX14" s="108">
        <f>'Balance Sheet'!DX75</f>
        <v>-938845.77061818435</v>
      </c>
    </row>
    <row r="15" spans="1:129" s="33" customFormat="1" ht="10.199999999999999">
      <c r="A15" s="107" t="s">
        <v>60</v>
      </c>
      <c r="B15" s="107"/>
      <c r="C15" s="107"/>
      <c r="D15" s="107"/>
      <c r="E15" s="107"/>
      <c r="F15" s="107"/>
      <c r="G15" s="107"/>
      <c r="H15" s="101"/>
      <c r="I15" s="101"/>
      <c r="J15" s="101"/>
      <c r="K15" s="101"/>
      <c r="L15" s="101"/>
      <c r="M15" s="101"/>
      <c r="N15" s="101">
        <f t="shared" ref="N15:X15" si="14">N13+N14</f>
        <v>2220511.787952119</v>
      </c>
      <c r="O15" s="101">
        <f t="shared" si="14"/>
        <v>2494046.9475391698</v>
      </c>
      <c r="P15" s="101">
        <f t="shared" si="14"/>
        <v>3002794.8519998793</v>
      </c>
      <c r="Q15" s="100">
        <f t="shared" si="14"/>
        <v>3248561.5166665618</v>
      </c>
      <c r="R15" s="100">
        <f t="shared" si="14"/>
        <v>3726271.7796725882</v>
      </c>
      <c r="S15" s="100">
        <f t="shared" si="14"/>
        <v>4693997</v>
      </c>
      <c r="T15" s="117">
        <f t="shared" si="14"/>
        <v>5583998</v>
      </c>
      <c r="U15" s="99">
        <f t="shared" ca="1" si="14"/>
        <v>6086917.3670269568</v>
      </c>
      <c r="V15" s="99">
        <f t="shared" ca="1" si="14"/>
        <v>6700914.2354027862</v>
      </c>
      <c r="W15" s="99">
        <f t="shared" ca="1" si="14"/>
        <v>7436505.6676503215</v>
      </c>
      <c r="X15" s="99">
        <f t="shared" ca="1" si="14"/>
        <v>8254065.7900249232</v>
      </c>
      <c r="Y15" s="99">
        <f t="shared" ref="Y15:Z15" ca="1" si="15">Y13+Y14</f>
        <v>9254454.6266528908</v>
      </c>
      <c r="Z15" s="99">
        <f t="shared" ca="1" si="15"/>
        <v>10408169.550718879</v>
      </c>
      <c r="AB15" s="107" t="str">
        <f t="shared" si="0"/>
        <v>Net interest income after provision expenses</v>
      </c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1">
        <f t="shared" ref="BY15:CQ15" si="16">BY13+BY14</f>
        <v>572981.0358637101</v>
      </c>
      <c r="BZ15" s="101">
        <f t="shared" si="16"/>
        <v>536490.53152168973</v>
      </c>
      <c r="CA15" s="101">
        <f t="shared" si="16"/>
        <v>550286.47973021772</v>
      </c>
      <c r="CB15" s="101">
        <f t="shared" si="16"/>
        <v>560753.74083650135</v>
      </c>
      <c r="CC15" s="101">
        <f t="shared" si="16"/>
        <v>576480.11479106999</v>
      </c>
      <c r="CD15" s="101">
        <f t="shared" si="16"/>
        <v>646074.02955197985</v>
      </c>
      <c r="CE15" s="101">
        <f t="shared" si="16"/>
        <v>613941.92038420029</v>
      </c>
      <c r="CF15" s="101">
        <f t="shared" si="16"/>
        <v>657550.88281191979</v>
      </c>
      <c r="CG15" s="101">
        <f t="shared" si="16"/>
        <v>747858.0626424402</v>
      </c>
      <c r="CH15" s="101">
        <f t="shared" si="16"/>
        <v>695287.76270258985</v>
      </c>
      <c r="CI15" s="101">
        <f t="shared" si="16"/>
        <v>790251.71030101948</v>
      </c>
      <c r="CJ15" s="101">
        <f t="shared" si="16"/>
        <v>769397.31635383016</v>
      </c>
      <c r="CK15" s="101">
        <f t="shared" si="16"/>
        <v>810343.57010513986</v>
      </c>
      <c r="CL15" s="101">
        <f t="shared" si="16"/>
        <v>756664.51308160066</v>
      </c>
      <c r="CM15" s="101">
        <f t="shared" si="16"/>
        <v>838186.94842555956</v>
      </c>
      <c r="CN15" s="101">
        <f t="shared" si="16"/>
        <v>843366.48505426128</v>
      </c>
      <c r="CO15" s="117">
        <f t="shared" si="16"/>
        <v>919629.65895395982</v>
      </c>
      <c r="CP15" s="117">
        <f t="shared" si="16"/>
        <v>885914.63099095994</v>
      </c>
      <c r="CQ15" s="117">
        <f t="shared" si="16"/>
        <v>950286.91393209086</v>
      </c>
      <c r="CR15" s="117">
        <f t="shared" ref="CR15" si="17">CR13+CR14</f>
        <v>970440.57579557877</v>
      </c>
      <c r="CS15" s="117">
        <f>CS13+CS14</f>
        <v>1037123</v>
      </c>
      <c r="CT15" s="117">
        <f t="shared" ref="CT15:DP15" si="18">CT13+CT14</f>
        <v>1129769</v>
      </c>
      <c r="CU15" s="117">
        <f t="shared" ref="CU15:CV15" si="19">CU13+CU14</f>
        <v>1252965</v>
      </c>
      <c r="CV15" s="117">
        <f t="shared" si="19"/>
        <v>1274140</v>
      </c>
      <c r="CW15" s="117">
        <f t="shared" ref="CW15:CZ15" si="20">CW13+CW14</f>
        <v>1283227</v>
      </c>
      <c r="CX15" s="117">
        <f t="shared" si="20"/>
        <v>1405437</v>
      </c>
      <c r="CY15" s="117">
        <f t="shared" si="20"/>
        <v>1422468</v>
      </c>
      <c r="CZ15" s="117">
        <f t="shared" si="20"/>
        <v>1472866</v>
      </c>
      <c r="DA15" s="99">
        <f t="shared" ca="1" si="18"/>
        <v>1481768.9597064923</v>
      </c>
      <c r="DB15" s="99">
        <f t="shared" ca="1" si="18"/>
        <v>1482116.4187163638</v>
      </c>
      <c r="DC15" s="99">
        <f t="shared" ca="1" si="18"/>
        <v>1541396.6198497314</v>
      </c>
      <c r="DD15" s="99">
        <f t="shared" ca="1" si="18"/>
        <v>1581635.3687543697</v>
      </c>
      <c r="DE15" s="99">
        <f t="shared" ca="1" si="18"/>
        <v>1622832.428155361</v>
      </c>
      <c r="DF15" s="99">
        <f t="shared" ca="1" si="18"/>
        <v>1662496.9408677393</v>
      </c>
      <c r="DG15" s="99">
        <f t="shared" ca="1" si="18"/>
        <v>1690225.0915555493</v>
      </c>
      <c r="DH15" s="99">
        <f t="shared" ca="1" si="18"/>
        <v>1725359.7748241345</v>
      </c>
      <c r="DI15" s="99">
        <f t="shared" ca="1" si="18"/>
        <v>1747492.9679833064</v>
      </c>
      <c r="DJ15" s="99">
        <f t="shared" ca="1" si="18"/>
        <v>1826833.9365920771</v>
      </c>
      <c r="DK15" s="99">
        <f t="shared" ca="1" si="18"/>
        <v>1887840.4820937118</v>
      </c>
      <c r="DL15" s="99">
        <f t="shared" ca="1" si="18"/>
        <v>1974338.280981225</v>
      </c>
      <c r="DM15" s="99">
        <f t="shared" ca="1" si="18"/>
        <v>1999966.0379425627</v>
      </c>
      <c r="DN15" s="99">
        <f t="shared" ca="1" si="18"/>
        <v>2035198.8213072107</v>
      </c>
      <c r="DO15" s="99">
        <f t="shared" ca="1" si="18"/>
        <v>2078607.7312893514</v>
      </c>
      <c r="DP15" s="99">
        <f t="shared" ca="1" si="18"/>
        <v>2140293.1994857979</v>
      </c>
      <c r="DQ15" s="99">
        <f t="shared" ref="DQ15:DT15" ca="1" si="21">DQ13+DQ14</f>
        <v>2206712.5909561641</v>
      </c>
      <c r="DR15" s="99">
        <f t="shared" ca="1" si="21"/>
        <v>2280843.1343145538</v>
      </c>
      <c r="DS15" s="99">
        <f t="shared" ca="1" si="21"/>
        <v>2347939.0661659534</v>
      </c>
      <c r="DT15" s="99">
        <f t="shared" ca="1" si="21"/>
        <v>2418959.8352162163</v>
      </c>
      <c r="DU15" s="99">
        <f t="shared" ref="DU15:DX15" ca="1" si="22">DU13+DU14</f>
        <v>2490359.3379191579</v>
      </c>
      <c r="DV15" s="99">
        <f t="shared" ca="1" si="22"/>
        <v>2569237.2369515104</v>
      </c>
      <c r="DW15" s="99">
        <f t="shared" ca="1" si="22"/>
        <v>2632063.6639888729</v>
      </c>
      <c r="DX15" s="99">
        <f t="shared" ca="1" si="22"/>
        <v>2716509.3118593404</v>
      </c>
    </row>
    <row r="16" spans="1:129" s="33" customFormat="1" ht="10.199999999999999">
      <c r="A16" s="111" t="s">
        <v>59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6"/>
      <c r="R16" s="116"/>
      <c r="S16" s="116"/>
      <c r="T16" s="599"/>
      <c r="U16" s="115"/>
      <c r="V16" s="115"/>
      <c r="W16" s="115"/>
      <c r="X16" s="115"/>
      <c r="Y16" s="115"/>
      <c r="Z16" s="115"/>
      <c r="AB16" s="111" t="str">
        <f t="shared" si="0"/>
        <v>Non financial income</v>
      </c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8"/>
      <c r="CP16" s="108"/>
      <c r="CQ16" s="108"/>
      <c r="CR16" s="108"/>
      <c r="CS16" s="108"/>
      <c r="CT16" s="108"/>
      <c r="CU16" s="108"/>
      <c r="CV16" s="108"/>
      <c r="CW16" s="108"/>
      <c r="CX16" s="110"/>
      <c r="CY16" s="108"/>
      <c r="CZ16" s="110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</row>
    <row r="17" spans="1:128" s="33" customFormat="1" ht="10.199999999999999">
      <c r="A17" s="113" t="s">
        <v>57</v>
      </c>
      <c r="B17" s="113"/>
      <c r="C17" s="113"/>
      <c r="D17" s="113"/>
      <c r="E17" s="113"/>
      <c r="F17" s="113"/>
      <c r="G17" s="113"/>
      <c r="H17" s="105"/>
      <c r="I17" s="105"/>
      <c r="J17" s="105"/>
      <c r="K17" s="105"/>
      <c r="L17" s="105"/>
      <c r="M17" s="105"/>
      <c r="N17" s="105">
        <f>SUM(BY17:CB17)</f>
        <v>1308949.94627261</v>
      </c>
      <c r="O17" s="105">
        <f>SUM(CC17:CF17)</f>
        <v>1482775.8809022503</v>
      </c>
      <c r="P17" s="105">
        <f>SUM(CG17:CJ17)</f>
        <v>1638745.7335810403</v>
      </c>
      <c r="Q17" s="104">
        <f>SUM(CK17:CN17)</f>
        <v>1939552.6579777796</v>
      </c>
      <c r="R17" s="104">
        <f>SUM(CO17:CR17)</f>
        <v>2268634.0874164063</v>
      </c>
      <c r="S17" s="104">
        <f>SUM(CS17:CV17)</f>
        <v>2521830</v>
      </c>
      <c r="T17" s="598">
        <f>SUM(CW17:CZ17)</f>
        <v>2644192</v>
      </c>
      <c r="U17" s="103">
        <f>SUM(DA17:DD17)</f>
        <v>2867741.1501314403</v>
      </c>
      <c r="V17" s="103">
        <f>SUM(DE17:DH17)</f>
        <v>3192680.483531463</v>
      </c>
      <c r="W17" s="103">
        <f>SUM(DI17:DL17)</f>
        <v>3670131.2824721318</v>
      </c>
      <c r="X17" s="103">
        <f>SUM(DM17:DP17)</f>
        <v>4130765.0922789834</v>
      </c>
      <c r="Y17" s="103">
        <f>SUM(DQ17:DT17)</f>
        <v>4649212.503400459</v>
      </c>
      <c r="Z17" s="103">
        <f>SUM(DU17:DX17)</f>
        <v>5232729.6321393726</v>
      </c>
      <c r="AB17" s="113" t="str">
        <f t="shared" si="0"/>
        <v>Fee income</v>
      </c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0">
        <v>313922.32113724004</v>
      </c>
      <c r="BZ17" s="110">
        <v>305691.71147809003</v>
      </c>
      <c r="CA17" s="110">
        <v>324593.54434611998</v>
      </c>
      <c r="CB17" s="110">
        <v>364742.36931115994</v>
      </c>
      <c r="CC17" s="110">
        <v>357209.24595504004</v>
      </c>
      <c r="CD17" s="110">
        <v>364904.38812679978</v>
      </c>
      <c r="CE17" s="110">
        <v>377737.22732479987</v>
      </c>
      <c r="CF17" s="110">
        <v>382925.01949561061</v>
      </c>
      <c r="CG17" s="110">
        <v>396712.94587918994</v>
      </c>
      <c r="CH17" s="110">
        <v>421635.47704443015</v>
      </c>
      <c r="CI17" s="110">
        <v>417121.85219368036</v>
      </c>
      <c r="CJ17" s="110">
        <v>403275.45846373984</v>
      </c>
      <c r="CK17" s="110">
        <v>436015.83898832015</v>
      </c>
      <c r="CL17" s="110">
        <v>473134.54412469018</v>
      </c>
      <c r="CM17" s="110">
        <v>505574.48782710987</v>
      </c>
      <c r="CN17" s="110">
        <v>524827.78703765944</v>
      </c>
      <c r="CO17" s="110">
        <v>508191.72930827993</v>
      </c>
      <c r="CP17" s="110">
        <v>578771.97910790029</v>
      </c>
      <c r="CQ17" s="110">
        <v>577029.3021981006</v>
      </c>
      <c r="CR17" s="110">
        <v>604641.07680212543</v>
      </c>
      <c r="CS17" s="110">
        <v>609105</v>
      </c>
      <c r="CT17" s="110">
        <v>612585</v>
      </c>
      <c r="CU17" s="110">
        <v>614777</v>
      </c>
      <c r="CV17" s="110">
        <v>685363</v>
      </c>
      <c r="CW17" s="110">
        <v>643627</v>
      </c>
      <c r="CX17" s="110">
        <v>663206</v>
      </c>
      <c r="CY17" s="110">
        <v>650195</v>
      </c>
      <c r="CZ17" s="110">
        <v>687164</v>
      </c>
      <c r="DA17" s="108">
        <f>(1+Assumptions!DA27)*'Income Statement'!CZ17</f>
        <v>680292.36</v>
      </c>
      <c r="DB17" s="108">
        <f>(1+Assumptions!DB27)*'Income Statement'!DA17</f>
        <v>700701.13080000004</v>
      </c>
      <c r="DC17" s="108">
        <f>(1+Assumptions!DC27)*'Income Statement'!DB17</f>
        <v>721722.16472400003</v>
      </c>
      <c r="DD17" s="108">
        <f>(1+Assumptions!DD27)*'Income Statement'!DC17</f>
        <v>765025.49460744008</v>
      </c>
      <c r="DE17" s="108">
        <f>(1+Assumptions!DE27)*'Income Statement'!DD17</f>
        <v>757375.23966136563</v>
      </c>
      <c r="DF17" s="108">
        <f>(1+Assumptions!DF27)*'Income Statement'!DE17</f>
        <v>780096.49685120664</v>
      </c>
      <c r="DG17" s="108">
        <f>(1+Assumptions!DG27)*'Income Statement'!DF17</f>
        <v>803499.39175674284</v>
      </c>
      <c r="DH17" s="108">
        <f>(1+Assumptions!DH27)*'Income Statement'!DG17</f>
        <v>851709.3552621475</v>
      </c>
      <c r="DI17" s="108">
        <f>(1+Assumptions!DI27)*'Income Statement'!DH17</f>
        <v>877260.6359200119</v>
      </c>
      <c r="DJ17" s="108">
        <f>(1+Assumptions!DJ27)*'Income Statement'!DI17</f>
        <v>903578.45499761228</v>
      </c>
      <c r="DK17" s="108">
        <f>(1+Assumptions!DK27)*'Income Statement'!DJ17</f>
        <v>930685.80864754063</v>
      </c>
      <c r="DL17" s="108">
        <f>(1+Assumptions!DL27)*'Income Statement'!DK17</f>
        <v>958606.38290696684</v>
      </c>
      <c r="DM17" s="108">
        <f>(1+Assumptions!DM27)*'Income Statement'!DL17</f>
        <v>987364.5743941759</v>
      </c>
      <c r="DN17" s="108">
        <f>(1+Assumptions!DN27)*'Income Statement'!DM17</f>
        <v>1016985.5116260012</v>
      </c>
      <c r="DO17" s="108">
        <f>(1+Assumptions!DO27)*'Income Statement'!DN17</f>
        <v>1047495.0769747812</v>
      </c>
      <c r="DP17" s="108">
        <f>(1+Assumptions!DP27)*'Income Statement'!DO17</f>
        <v>1078919.9292840248</v>
      </c>
      <c r="DQ17" s="108">
        <f>(1+Assumptions!DQ27)*'Income Statement'!DP17</f>
        <v>1111287.5271625456</v>
      </c>
      <c r="DR17" s="108">
        <f>(1+Assumptions!DR27)*'Income Statement'!DQ17</f>
        <v>1144626.1529774219</v>
      </c>
      <c r="DS17" s="108">
        <f>(1+Assumptions!DS27)*'Income Statement'!DR17</f>
        <v>1178964.9375667446</v>
      </c>
      <c r="DT17" s="108">
        <f>(1+Assumptions!DT27)*'Income Statement'!DS17</f>
        <v>1214333.8856937471</v>
      </c>
      <c r="DU17" s="108">
        <f>(1+Assumptions!DU27)*'Income Statement'!DT17</f>
        <v>1250763.9022645596</v>
      </c>
      <c r="DV17" s="108">
        <f>(1+Assumptions!DV27)*'Income Statement'!DU17</f>
        <v>1288286.8193324965</v>
      </c>
      <c r="DW17" s="108">
        <f>(1+Assumptions!DW27)*'Income Statement'!DV17</f>
        <v>1326935.4239124714</v>
      </c>
      <c r="DX17" s="108">
        <f>(1+Assumptions!DX27)*'Income Statement'!DW17</f>
        <v>1366743.4866298456</v>
      </c>
    </row>
    <row r="18" spans="1:128" s="33" customFormat="1" ht="10.199999999999999">
      <c r="A18" s="113" t="s">
        <v>56</v>
      </c>
      <c r="B18" s="113"/>
      <c r="C18" s="113"/>
      <c r="D18" s="113"/>
      <c r="E18" s="113"/>
      <c r="F18" s="113"/>
      <c r="G18" s="113"/>
      <c r="H18" s="105"/>
      <c r="I18" s="105"/>
      <c r="J18" s="105"/>
      <c r="K18" s="105"/>
      <c r="L18" s="105"/>
      <c r="M18" s="105"/>
      <c r="N18" s="105">
        <f>SUM(BY18:CB18)</f>
        <v>258471.4954130468</v>
      </c>
      <c r="O18" s="105">
        <f>SUM(CC18:CF18)</f>
        <v>294246.37753966998</v>
      </c>
      <c r="P18" s="105">
        <f>SUM(CG18:CJ18)</f>
        <v>373374.917279999</v>
      </c>
      <c r="Q18" s="104">
        <f>SUM(CK18:CN18)</f>
        <v>467001.38341187988</v>
      </c>
      <c r="R18" s="104">
        <f>SUM(CO18:CR18)</f>
        <v>536169.39105851238</v>
      </c>
      <c r="S18" s="104">
        <f>SUM(CS18:CV18)</f>
        <v>625070</v>
      </c>
      <c r="T18" s="598">
        <f>SUM(CW18:CZ18)</f>
        <v>773798</v>
      </c>
      <c r="U18" s="103">
        <f>SUM(DA18:DD18)</f>
        <v>847153.65525290952</v>
      </c>
      <c r="V18" s="103">
        <f>SUM(DE18:DH18)</f>
        <v>876691.23278259102</v>
      </c>
      <c r="W18" s="103">
        <f>SUM(DI18:DL18)</f>
        <v>906419.34449068469</v>
      </c>
      <c r="X18" s="103">
        <f>SUM(DM18:DP18)</f>
        <v>937324.40093296161</v>
      </c>
      <c r="Y18" s="103">
        <f>SUM(DQ18:DT18)</f>
        <v>969283.18876292987</v>
      </c>
      <c r="Z18" s="103">
        <f>SUM(DU18:DX18)</f>
        <v>1002331.6357531039</v>
      </c>
      <c r="AB18" s="113" t="str">
        <f t="shared" si="0"/>
        <v>Net gain on foreign exchange transactions</v>
      </c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0">
        <v>62309.857792639988</v>
      </c>
      <c r="BZ18" s="110">
        <v>58972.579878400007</v>
      </c>
      <c r="CA18" s="110">
        <v>69944.617094386849</v>
      </c>
      <c r="CB18" s="110">
        <v>67244.440647619951</v>
      </c>
      <c r="CC18" s="110">
        <v>72437.108949000016</v>
      </c>
      <c r="CD18" s="110">
        <v>67038.633818059956</v>
      </c>
      <c r="CE18" s="110">
        <v>73453.530749230034</v>
      </c>
      <c r="CF18" s="110">
        <v>81317.104023379972</v>
      </c>
      <c r="CG18" s="110">
        <v>87293.628639249175</v>
      </c>
      <c r="CH18" s="110">
        <v>97757.445761339404</v>
      </c>
      <c r="CI18" s="110">
        <v>96759.042549171951</v>
      </c>
      <c r="CJ18" s="110">
        <v>91564.800330238475</v>
      </c>
      <c r="CK18" s="110">
        <v>105077.23544665999</v>
      </c>
      <c r="CL18" s="110">
        <v>116989.85766347</v>
      </c>
      <c r="CM18" s="110">
        <v>117254.83514170005</v>
      </c>
      <c r="CN18" s="110">
        <v>127679.45516004984</v>
      </c>
      <c r="CO18" s="110">
        <v>124265.53804582995</v>
      </c>
      <c r="CP18" s="110">
        <v>146565.73384501997</v>
      </c>
      <c r="CQ18" s="110">
        <v>135964.63431835664</v>
      </c>
      <c r="CR18" s="110">
        <v>129373.48484930582</v>
      </c>
      <c r="CS18" s="110">
        <v>132189</v>
      </c>
      <c r="CT18" s="110">
        <v>140839</v>
      </c>
      <c r="CU18" s="110">
        <v>164097</v>
      </c>
      <c r="CV18" s="110">
        <v>187945</v>
      </c>
      <c r="CW18" s="110">
        <v>200446</v>
      </c>
      <c r="CX18" s="110">
        <v>168285</v>
      </c>
      <c r="CY18" s="110">
        <v>197902</v>
      </c>
      <c r="CZ18" s="110">
        <v>207165</v>
      </c>
      <c r="DA18" s="108">
        <f>(1+Assumptions!DA28)*'Income Statement'!CZ18</f>
        <v>208822.32</v>
      </c>
      <c r="DB18" s="108">
        <f>(1+Assumptions!DB28)*'Income Statement'!DA18</f>
        <v>210910.54320000001</v>
      </c>
      <c r="DC18" s="108">
        <f>(1+Assumptions!DC28)*'Income Statement'!DB18</f>
        <v>212788.86050804137</v>
      </c>
      <c r="DD18" s="108">
        <f>(1+Assumptions!DD28)*'Income Statement'!DC18</f>
        <v>214631.93154486819</v>
      </c>
      <c r="DE18" s="108">
        <f>(1+Assumptions!DE28)*'Income Statement'!DD18</f>
        <v>216490.96634426547</v>
      </c>
      <c r="DF18" s="108">
        <f>(1+Assumptions!DF28)*'Income Statement'!DE18</f>
        <v>218260.230972333</v>
      </c>
      <c r="DG18" s="108">
        <f>(1+Assumptions!DG28)*'Income Statement'!DF18</f>
        <v>220043.95485187409</v>
      </c>
      <c r="DH18" s="108">
        <f>(1+Assumptions!DH28)*'Income Statement'!DG18</f>
        <v>221896.08061411852</v>
      </c>
      <c r="DI18" s="108">
        <f>(1+Assumptions!DI28)*'Income Statement'!DH18</f>
        <v>223763.79585184512</v>
      </c>
      <c r="DJ18" s="108">
        <f>(1+Assumptions!DJ28)*'Income Statement'!DI18</f>
        <v>225647.23178278803</v>
      </c>
      <c r="DK18" s="108">
        <f>(1+Assumptions!DK28)*'Income Statement'!DJ18</f>
        <v>227546.52072915045</v>
      </c>
      <c r="DL18" s="108">
        <f>(1+Assumptions!DL28)*'Income Statement'!DK18</f>
        <v>229461.79612690106</v>
      </c>
      <c r="DM18" s="108">
        <f>(1+Assumptions!DM28)*'Income Statement'!DL18</f>
        <v>231393.19253514867</v>
      </c>
      <c r="DN18" s="108">
        <f>(1+Assumptions!DN28)*'Income Statement'!DM18</f>
        <v>233340.84564559575</v>
      </c>
      <c r="DO18" s="108">
        <f>(1+Assumptions!DO28)*'Income Statement'!DN18</f>
        <v>235304.8922920716</v>
      </c>
      <c r="DP18" s="108">
        <f>(1+Assumptions!DP28)*'Income Statement'!DO18</f>
        <v>237285.47046014565</v>
      </c>
      <c r="DQ18" s="108">
        <f>(1+Assumptions!DQ28)*'Income Statement'!DP18</f>
        <v>239282.71929682177</v>
      </c>
      <c r="DR18" s="108">
        <f>(1+Assumptions!DR28)*'Income Statement'!DQ18</f>
        <v>241296.7791203142</v>
      </c>
      <c r="DS18" s="108">
        <f>(1+Assumptions!DS28)*'Income Statement'!DR18</f>
        <v>243327.7914299056</v>
      </c>
      <c r="DT18" s="108">
        <f>(1+Assumptions!DT28)*'Income Statement'!DS18</f>
        <v>245375.89891588831</v>
      </c>
      <c r="DU18" s="108">
        <f>(1+Assumptions!DU28)*'Income Statement'!DT18</f>
        <v>247441.24546958905</v>
      </c>
      <c r="DV18" s="108">
        <f>(1+Assumptions!DV28)*'Income Statement'!DU18</f>
        <v>249523.97619347819</v>
      </c>
      <c r="DW18" s="108">
        <f>(1+Assumptions!DW28)*'Income Statement'!DV18</f>
        <v>251624.23741136398</v>
      </c>
      <c r="DX18" s="108">
        <f>(1+Assumptions!DX28)*'Income Statement'!DW18</f>
        <v>253742.17667867269</v>
      </c>
    </row>
    <row r="19" spans="1:128" s="33" customFormat="1" ht="10.199999999999999">
      <c r="A19" s="113" t="s">
        <v>55</v>
      </c>
      <c r="B19" s="113"/>
      <c r="C19" s="113"/>
      <c r="D19" s="113"/>
      <c r="E19" s="113"/>
      <c r="F19" s="113"/>
      <c r="G19" s="113"/>
      <c r="H19" s="105"/>
      <c r="I19" s="105"/>
      <c r="J19" s="105"/>
      <c r="K19" s="105"/>
      <c r="L19" s="105"/>
      <c r="M19" s="105"/>
      <c r="N19" s="105">
        <f>SUM(BY19:CB19)</f>
        <v>340746.31661412003</v>
      </c>
      <c r="O19" s="105">
        <f>SUM(CC19:CF19)</f>
        <v>235865.03831669997</v>
      </c>
      <c r="P19" s="105">
        <f>SUM(CG19:CJ19)</f>
        <v>147589.95669712001</v>
      </c>
      <c r="Q19" s="104">
        <f>SUM(CK19:CN19)</f>
        <v>295246.62919182458</v>
      </c>
      <c r="R19" s="104">
        <f>SUM(CO19:CR19)</f>
        <v>81902.4802945501</v>
      </c>
      <c r="S19" s="104">
        <f>SUM(CS19:CV19)</f>
        <v>205642</v>
      </c>
      <c r="T19" s="598">
        <f>SUM(CW19:CZ19)</f>
        <v>-23880.055555555562</v>
      </c>
      <c r="U19" s="103">
        <f>SUM(DA19:DD19)</f>
        <v>258371.08462418569</v>
      </c>
      <c r="V19" s="103">
        <f>SUM(DE19:DH19)</f>
        <v>290267.24720373139</v>
      </c>
      <c r="W19" s="103">
        <f>SUM(DI19:DL19)</f>
        <v>298912.13342046243</v>
      </c>
      <c r="X19" s="103">
        <f>SUM(DM19:DP19)</f>
        <v>307879.49742307619</v>
      </c>
      <c r="Y19" s="103">
        <f>SUM(DQ19:DT19)</f>
        <v>317115.88234576839</v>
      </c>
      <c r="Z19" s="103">
        <f>SUM(DU19:DX19)</f>
        <v>326629.35881614132</v>
      </c>
      <c r="AB19" s="113" t="str">
        <f t="shared" si="0"/>
        <v>Net gain on sales of securities</v>
      </c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0">
        <v>147609.56158364998</v>
      </c>
      <c r="BZ19" s="110">
        <v>113792.10744194002</v>
      </c>
      <c r="CA19" s="110">
        <v>47618.857309109939</v>
      </c>
      <c r="CB19" s="110">
        <v>31725.790279420093</v>
      </c>
      <c r="CC19" s="110">
        <v>19989.904813080015</v>
      </c>
      <c r="CD19" s="110">
        <v>107577.11203895995</v>
      </c>
      <c r="CE19" s="110">
        <v>78152.048553419838</v>
      </c>
      <c r="CF19" s="110">
        <v>30145.972911240184</v>
      </c>
      <c r="CG19" s="110">
        <v>51728.448221740007</v>
      </c>
      <c r="CH19" s="110">
        <v>18051.686850529994</v>
      </c>
      <c r="CI19" s="110">
        <v>35785.113660220042</v>
      </c>
      <c r="CJ19" s="110">
        <v>42024.707964629968</v>
      </c>
      <c r="CK19" s="110">
        <v>79660.238351190026</v>
      </c>
      <c r="CL19" s="110">
        <v>42744.974816190181</v>
      </c>
      <c r="CM19" s="110">
        <v>83679.769974500159</v>
      </c>
      <c r="CN19" s="110">
        <v>89161.646049944218</v>
      </c>
      <c r="CO19" s="110">
        <v>60361.829672840002</v>
      </c>
      <c r="CP19" s="110">
        <v>-35045.887342292699</v>
      </c>
      <c r="CQ19" s="110">
        <v>28239.576966218508</v>
      </c>
      <c r="CR19" s="110">
        <v>28346.960997784292</v>
      </c>
      <c r="CS19" s="110">
        <f>119518-77100</f>
        <v>42418</v>
      </c>
      <c r="CT19" s="110">
        <v>56103</v>
      </c>
      <c r="CU19" s="110">
        <v>75592</v>
      </c>
      <c r="CV19" s="110">
        <f>-38271+69800</f>
        <v>31529</v>
      </c>
      <c r="CW19" s="110">
        <v>24886</v>
      </c>
      <c r="CX19" s="110">
        <v>20743</v>
      </c>
      <c r="CY19" s="110">
        <f>29200-(58963/0.72)</f>
        <v>-52693.055555555562</v>
      </c>
      <c r="CZ19" s="110">
        <f>-16816</f>
        <v>-16816</v>
      </c>
      <c r="DA19" s="108">
        <f>Assumptions!DA29*AVERAGE('Balance Sheet'!CZ17:DA17)</f>
        <v>46353.395244203806</v>
      </c>
      <c r="DB19" s="108">
        <f>Assumptions!DB29*AVERAGE('Balance Sheet'!DA17:DB17)</f>
        <v>70108.331070534783</v>
      </c>
      <c r="DC19" s="108">
        <f>Assumptions!DC29*AVERAGE('Balance Sheet'!DB17:DC17)</f>
        <v>70679.624214274503</v>
      </c>
      <c r="DD19" s="108">
        <f>Assumptions!DD29*AVERAGE('Balance Sheet'!DC17:DD17)</f>
        <v>71229.734095172622</v>
      </c>
      <c r="DE19" s="108">
        <f>Assumptions!DE29*AVERAGE('Balance Sheet'!DD17:DE17)</f>
        <v>71775.460810575067</v>
      </c>
      <c r="DF19" s="108">
        <f>Assumptions!DF29*AVERAGE('Balance Sheet'!DE17:DF17)</f>
        <v>72307.751190737981</v>
      </c>
      <c r="DG19" s="108">
        <f>Assumptions!DG29*AVERAGE('Balance Sheet'!DF17:DG17)</f>
        <v>72826.375932838637</v>
      </c>
      <c r="DH19" s="108">
        <f>Assumptions!DH29*AVERAGE('Balance Sheet'!DG17:DH17)</f>
        <v>73357.659269579686</v>
      </c>
      <c r="DI19" s="108">
        <f>Assumptions!DI29*AVERAGE('Balance Sheet'!DH17:DI17)</f>
        <v>73901.758293828636</v>
      </c>
      <c r="DJ19" s="108">
        <f>Assumptions!DJ29*AVERAGE('Balance Sheet'!DI17:DJ17)</f>
        <v>74449.892939594618</v>
      </c>
      <c r="DK19" s="108">
        <f>Assumptions!DK29*AVERAGE('Balance Sheet'!DJ17:DK17)</f>
        <v>75002.093139372126</v>
      </c>
      <c r="DL19" s="108">
        <f>Assumptions!DL29*AVERAGE('Balance Sheet'!DK17:DL17)</f>
        <v>75558.389047667049</v>
      </c>
      <c r="DM19" s="108">
        <f>Assumptions!DM29*AVERAGE('Balance Sheet'!DL17:DM17)</f>
        <v>76118.811042643458</v>
      </c>
      <c r="DN19" s="108">
        <f>Assumptions!DN29*AVERAGE('Balance Sheet'!DM17:DN17)</f>
        <v>76683.389727782429</v>
      </c>
      <c r="DO19" s="108">
        <f>Assumptions!DO29*AVERAGE('Balance Sheet'!DN17:DO17)</f>
        <v>77252.155933553251</v>
      </c>
      <c r="DP19" s="108">
        <f>Assumptions!DP29*AVERAGE('Balance Sheet'!DO17:DP17)</f>
        <v>77825.14071909702</v>
      </c>
      <c r="DQ19" s="108">
        <f>Assumptions!DQ29*AVERAGE('Balance Sheet'!DP17:DQ17)</f>
        <v>78402.37537392274</v>
      </c>
      <c r="DR19" s="108">
        <f>Assumptions!DR29*AVERAGE('Balance Sheet'!DQ17:DR17)</f>
        <v>78983.891419615888</v>
      </c>
      <c r="DS19" s="108">
        <f>Assumptions!DS29*AVERAGE('Balance Sheet'!DR17:DS17)</f>
        <v>79569.720611559824</v>
      </c>
      <c r="DT19" s="108">
        <f>Assumptions!DT29*AVERAGE('Balance Sheet'!DS17:DT17)</f>
        <v>80159.894940669925</v>
      </c>
      <c r="DU19" s="108">
        <f>Assumptions!DU29*AVERAGE('Balance Sheet'!DT17:DU17)</f>
        <v>80754.446635140383</v>
      </c>
      <c r="DV19" s="108">
        <f>Assumptions!DV29*AVERAGE('Balance Sheet'!DU17:DV17)</f>
        <v>81353.40816220433</v>
      </c>
      <c r="DW19" s="108">
        <f>Assumptions!DW29*AVERAGE('Balance Sheet'!DV17:DW17)</f>
        <v>81956.812229906602</v>
      </c>
      <c r="DX19" s="108">
        <f>Assumptions!DX29*AVERAGE('Balance Sheet'!DW17:DX17)</f>
        <v>82564.691788889992</v>
      </c>
    </row>
    <row r="20" spans="1:128" s="33" customFormat="1" ht="10.199999999999999">
      <c r="A20" s="113" t="s">
        <v>45</v>
      </c>
      <c r="B20" s="113"/>
      <c r="C20" s="113"/>
      <c r="D20" s="113"/>
      <c r="E20" s="113"/>
      <c r="F20" s="113"/>
      <c r="G20" s="113"/>
      <c r="H20" s="105"/>
      <c r="I20" s="105"/>
      <c r="J20" s="105"/>
      <c r="K20" s="105"/>
      <c r="L20" s="105"/>
      <c r="M20" s="105"/>
      <c r="N20" s="105">
        <f>SUM(BY20:CB20)</f>
        <v>121628.69007655002</v>
      </c>
      <c r="O20" s="105">
        <f>SUM(CC20:CF20)</f>
        <v>106591.23727990998</v>
      </c>
      <c r="P20" s="105">
        <f>SUM(CG20:CJ20)</f>
        <v>71610.366870880011</v>
      </c>
      <c r="Q20" s="104">
        <f>SUM(CK20:CN20)</f>
        <v>97035.865745079966</v>
      </c>
      <c r="R20" s="104">
        <f>SUM(CO20:CR20)</f>
        <v>159666.15749988303</v>
      </c>
      <c r="S20" s="104">
        <f>SUM(CS20:CV20)</f>
        <v>243599</v>
      </c>
      <c r="T20" s="598">
        <f>SUM(CW20:CZ20)</f>
        <v>335792</v>
      </c>
      <c r="U20" s="103">
        <f>SUM(DA20:DD20)</f>
        <v>296463.49264690781</v>
      </c>
      <c r="V20" s="103">
        <f>SUM(DE20:DH20)</f>
        <v>314819.57342532394</v>
      </c>
      <c r="W20" s="103">
        <f>SUM(DI20:DL20)</f>
        <v>333800.98139981809</v>
      </c>
      <c r="X20" s="103">
        <f>SUM(DM20:DP20)</f>
        <v>354052.68382219656</v>
      </c>
      <c r="Y20" s="103">
        <f>SUM(DQ20:DT20)</f>
        <v>375533.05684130208</v>
      </c>
      <c r="Z20" s="103">
        <f>SUM(DU20:DX20)</f>
        <v>398316.64389075688</v>
      </c>
      <c r="AB20" s="113" t="str">
        <f t="shared" si="0"/>
        <v>Other</v>
      </c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09">
        <v>31853.786670359998</v>
      </c>
      <c r="BZ20" s="109">
        <v>32719.912086739994</v>
      </c>
      <c r="CA20" s="109">
        <v>17334.277082090004</v>
      </c>
      <c r="CB20" s="109">
        <v>39720.714237360022</v>
      </c>
      <c r="CC20" s="109">
        <v>28226.540765250003</v>
      </c>
      <c r="CD20" s="109">
        <v>18845.880603759997</v>
      </c>
      <c r="CE20" s="109">
        <v>14209.227299259997</v>
      </c>
      <c r="CF20" s="109">
        <v>45309.588611639985</v>
      </c>
      <c r="CG20" s="109">
        <v>30270.276066249997</v>
      </c>
      <c r="CH20" s="109">
        <v>10146.949289120003</v>
      </c>
      <c r="CI20" s="110">
        <v>5662.8675980499938</v>
      </c>
      <c r="CJ20" s="110">
        <v>25530.27391746001</v>
      </c>
      <c r="CK20" s="110">
        <v>21248.820391369994</v>
      </c>
      <c r="CL20" s="110">
        <v>47678.649960160015</v>
      </c>
      <c r="CM20" s="110">
        <v>3476.0515752199972</v>
      </c>
      <c r="CN20" s="110">
        <v>24632.343818329955</v>
      </c>
      <c r="CO20" s="110">
        <v>50782.527893370017</v>
      </c>
      <c r="CP20" s="110">
        <v>28253.042058116891</v>
      </c>
      <c r="CQ20" s="110">
        <v>33583.246780725298</v>
      </c>
      <c r="CR20" s="110">
        <v>47047.34076767083</v>
      </c>
      <c r="CS20" s="110">
        <f>23559+20710</f>
        <v>44269</v>
      </c>
      <c r="CT20" s="110">
        <f>64104+25242</f>
        <v>89346</v>
      </c>
      <c r="CU20" s="110">
        <f>26821+28813</f>
        <v>55634</v>
      </c>
      <c r="CV20" s="110">
        <f>30883+23467</f>
        <v>54350</v>
      </c>
      <c r="CW20" s="110">
        <f>41652+146818</f>
        <v>188470</v>
      </c>
      <c r="CX20" s="110">
        <f>37724-(227)</f>
        <v>37497</v>
      </c>
      <c r="CY20" s="110">
        <f>35612+3172</f>
        <v>38784</v>
      </c>
      <c r="CZ20" s="110">
        <f>73894-2853</f>
        <v>71041</v>
      </c>
      <c r="DA20" s="108">
        <f>(1+Assumptions!DA30)*'Income Statement'!CZ20</f>
        <v>72337.407000913852</v>
      </c>
      <c r="DB20" s="108">
        <f>(1+Assumptions!DB30)*'Income Statement'!DA20</f>
        <v>73551.767668024593</v>
      </c>
      <c r="DC20" s="108">
        <f>(1+Assumptions!DC30)*'Income Statement'!DB20</f>
        <v>74714.731957196302</v>
      </c>
      <c r="DD20" s="108">
        <f>(1+Assumptions!DD30)*'Income Statement'!DC20</f>
        <v>75859.586020773058</v>
      </c>
      <c r="DE20" s="108">
        <f>(1+Assumptions!DE30)*'Income Statement'!DD20</f>
        <v>77021.982686625895</v>
      </c>
      <c r="DF20" s="108">
        <f>(1+Assumptions!DF30)*'Income Statement'!DE20</f>
        <v>78126.857482180319</v>
      </c>
      <c r="DG20" s="108">
        <f>(1+Assumptions!DG30)*'Income Statement'!DF20</f>
        <v>79247.58162711878</v>
      </c>
      <c r="DH20" s="108">
        <f>(1+Assumptions!DH30)*'Income Statement'!DG20</f>
        <v>80423.151629398955</v>
      </c>
      <c r="DI20" s="108">
        <f>(1+Assumptions!DI30)*'Income Statement'!DH20</f>
        <v>81616.160205852444</v>
      </c>
      <c r="DJ20" s="108">
        <f>(1+Assumptions!DJ30)*'Income Statement'!DI20</f>
        <v>82826.866042791953</v>
      </c>
      <c r="DK20" s="108">
        <f>(1+Assumptions!DK30)*'Income Statement'!DJ20</f>
        <v>84055.531663920061</v>
      </c>
      <c r="DL20" s="108">
        <f>(1+Assumptions!DL30)*'Income Statement'!DK20</f>
        <v>85302.423487253647</v>
      </c>
      <c r="DM20" s="108">
        <f>(1+Assumptions!DM30)*'Income Statement'!DL20</f>
        <v>86567.811882892696</v>
      </c>
      <c r="DN20" s="108">
        <f>(1+Assumptions!DN30)*'Income Statement'!DM20</f>
        <v>87851.971231646079</v>
      </c>
      <c r="DO20" s="108">
        <f>(1+Assumptions!DO30)*'Income Statement'!DN20</f>
        <v>89155.179984526971</v>
      </c>
      <c r="DP20" s="108">
        <f>(1+Assumptions!DP30)*'Income Statement'!DO20</f>
        <v>90477.720723130828</v>
      </c>
      <c r="DQ20" s="108">
        <f>(1+Assumptions!DQ30)*'Income Statement'!DP20</f>
        <v>91819.880220909094</v>
      </c>
      <c r="DR20" s="108">
        <f>(1+Assumptions!DR30)*'Income Statement'!DQ20</f>
        <v>93181.949505351731</v>
      </c>
      <c r="DS20" s="108">
        <f>(1+Assumptions!DS30)*'Income Statement'!DR20</f>
        <v>94564.223921092285</v>
      </c>
      <c r="DT20" s="108">
        <f>(1+Assumptions!DT30)*'Income Statement'!DS20</f>
        <v>95967.003193948971</v>
      </c>
      <c r="DU20" s="108">
        <f>(1+Assumptions!DU30)*'Income Statement'!DT20</f>
        <v>97390.591495915854</v>
      </c>
      <c r="DV20" s="108">
        <f>(1+Assumptions!DV30)*'Income Statement'!DU20</f>
        <v>98835.297511117999</v>
      </c>
      <c r="DW20" s="108">
        <f>(1+Assumptions!DW30)*'Income Statement'!DV20</f>
        <v>100301.43450274509</v>
      </c>
      <c r="DX20" s="108">
        <f>(1+Assumptions!DX30)*'Income Statement'!DW20</f>
        <v>101789.32038097795</v>
      </c>
    </row>
    <row r="21" spans="1:128" s="106" customFormat="1" ht="10.199999999999999">
      <c r="A21" s="111" t="s">
        <v>54</v>
      </c>
      <c r="B21" s="111"/>
      <c r="C21" s="111"/>
      <c r="D21" s="111"/>
      <c r="E21" s="111"/>
      <c r="F21" s="111"/>
      <c r="G21" s="111"/>
      <c r="H21" s="101"/>
      <c r="I21" s="101"/>
      <c r="J21" s="101"/>
      <c r="K21" s="101"/>
      <c r="L21" s="101"/>
      <c r="M21" s="101"/>
      <c r="N21" s="101">
        <f t="shared" ref="N21:X21" si="23">SUM(N17:N20)</f>
        <v>2029796.4483763268</v>
      </c>
      <c r="O21" s="101">
        <f t="shared" si="23"/>
        <v>2119478.5340385302</v>
      </c>
      <c r="P21" s="101">
        <f t="shared" si="23"/>
        <v>2231320.9744290393</v>
      </c>
      <c r="Q21" s="100">
        <f t="shared" si="23"/>
        <v>2798836.5363265644</v>
      </c>
      <c r="R21" s="100">
        <f t="shared" si="23"/>
        <v>3046372.1162693519</v>
      </c>
      <c r="S21" s="100">
        <f t="shared" si="23"/>
        <v>3596141</v>
      </c>
      <c r="T21" s="117">
        <f t="shared" si="23"/>
        <v>3729901.9444444445</v>
      </c>
      <c r="U21" s="99">
        <f t="shared" si="23"/>
        <v>4269729.3826554436</v>
      </c>
      <c r="V21" s="99">
        <f t="shared" si="23"/>
        <v>4674458.5369431088</v>
      </c>
      <c r="W21" s="99">
        <f t="shared" si="23"/>
        <v>5209263.7417830974</v>
      </c>
      <c r="X21" s="99">
        <f t="shared" si="23"/>
        <v>5730021.6744572185</v>
      </c>
      <c r="Y21" s="99">
        <f t="shared" ref="Y21:Z21" si="24">SUM(Y17:Y20)</f>
        <v>6311144.6313504595</v>
      </c>
      <c r="Z21" s="99">
        <f t="shared" si="24"/>
        <v>6960007.2705993745</v>
      </c>
      <c r="AB21" s="111" t="str">
        <f t="shared" si="0"/>
        <v>Total non financial income, net</v>
      </c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01">
        <f t="shared" ref="BY21:CQ21" si="25">SUM(BY17:BY20)</f>
        <v>555695.52718388999</v>
      </c>
      <c r="BZ21" s="101">
        <f t="shared" si="25"/>
        <v>511176.31088517013</v>
      </c>
      <c r="CA21" s="101">
        <f t="shared" si="25"/>
        <v>459491.29583170672</v>
      </c>
      <c r="CB21" s="101">
        <f t="shared" si="25"/>
        <v>503433.31447555998</v>
      </c>
      <c r="CC21" s="101">
        <f t="shared" si="25"/>
        <v>477862.80048237008</v>
      </c>
      <c r="CD21" s="101">
        <f t="shared" si="25"/>
        <v>558366.01458757976</v>
      </c>
      <c r="CE21" s="101">
        <f t="shared" si="25"/>
        <v>543552.03392670979</v>
      </c>
      <c r="CF21" s="101">
        <f t="shared" si="25"/>
        <v>539697.68504187081</v>
      </c>
      <c r="CG21" s="101">
        <f t="shared" si="25"/>
        <v>566005.29880642914</v>
      </c>
      <c r="CH21" s="101">
        <f t="shared" si="25"/>
        <v>547591.55894541962</v>
      </c>
      <c r="CI21" s="101">
        <f t="shared" si="25"/>
        <v>555328.87600112241</v>
      </c>
      <c r="CJ21" s="101">
        <f t="shared" si="25"/>
        <v>562395.24067606824</v>
      </c>
      <c r="CK21" s="101">
        <f t="shared" si="25"/>
        <v>642002.13317754015</v>
      </c>
      <c r="CL21" s="101">
        <f t="shared" si="25"/>
        <v>680548.02656451042</v>
      </c>
      <c r="CM21" s="101">
        <f t="shared" si="25"/>
        <v>709985.14451853</v>
      </c>
      <c r="CN21" s="101">
        <f t="shared" si="25"/>
        <v>766301.23206598347</v>
      </c>
      <c r="CO21" s="101">
        <f t="shared" si="25"/>
        <v>743601.62492031988</v>
      </c>
      <c r="CP21" s="101">
        <f t="shared" si="25"/>
        <v>718544.86766874441</v>
      </c>
      <c r="CQ21" s="101">
        <f t="shared" si="25"/>
        <v>774816.76026340108</v>
      </c>
      <c r="CR21" s="101">
        <f t="shared" ref="CR21" si="26">SUM(CR17:CR20)</f>
        <v>809408.86341688642</v>
      </c>
      <c r="CS21" s="101">
        <f t="shared" ref="CS21:DP21" si="27">SUM(CS17:CS20)</f>
        <v>827981</v>
      </c>
      <c r="CT21" s="101">
        <f t="shared" si="27"/>
        <v>898873</v>
      </c>
      <c r="CU21" s="101">
        <f t="shared" ref="CU21:CV21" si="28">SUM(CU17:CU20)</f>
        <v>910100</v>
      </c>
      <c r="CV21" s="101">
        <f t="shared" si="28"/>
        <v>959187</v>
      </c>
      <c r="CW21" s="101">
        <f t="shared" ref="CW21:CZ21" si="29">SUM(CW17:CW20)</f>
        <v>1057429</v>
      </c>
      <c r="CX21" s="117">
        <f t="shared" si="29"/>
        <v>889731</v>
      </c>
      <c r="CY21" s="117">
        <f t="shared" si="29"/>
        <v>834187.9444444445</v>
      </c>
      <c r="CZ21" s="117">
        <f t="shared" si="29"/>
        <v>948554</v>
      </c>
      <c r="DA21" s="99">
        <f t="shared" si="27"/>
        <v>1007805.4822451177</v>
      </c>
      <c r="DB21" s="99">
        <f t="shared" si="27"/>
        <v>1055271.7727385594</v>
      </c>
      <c r="DC21" s="99">
        <f t="shared" si="27"/>
        <v>1079905.3814035121</v>
      </c>
      <c r="DD21" s="99">
        <f t="shared" si="27"/>
        <v>1126746.746268254</v>
      </c>
      <c r="DE21" s="99">
        <f t="shared" si="27"/>
        <v>1122663.649502832</v>
      </c>
      <c r="DF21" s="99">
        <f t="shared" si="27"/>
        <v>1148791.3364964579</v>
      </c>
      <c r="DG21" s="99">
        <f t="shared" si="27"/>
        <v>1175617.3041685743</v>
      </c>
      <c r="DH21" s="99">
        <f t="shared" si="27"/>
        <v>1227386.2467752448</v>
      </c>
      <c r="DI21" s="99">
        <f t="shared" si="27"/>
        <v>1256542.3502715381</v>
      </c>
      <c r="DJ21" s="99">
        <f t="shared" si="27"/>
        <v>1286502.4457627868</v>
      </c>
      <c r="DK21" s="99">
        <f t="shared" si="27"/>
        <v>1317289.9541799831</v>
      </c>
      <c r="DL21" s="99">
        <f t="shared" si="27"/>
        <v>1348928.9915687889</v>
      </c>
      <c r="DM21" s="99">
        <f t="shared" si="27"/>
        <v>1381444.3898548605</v>
      </c>
      <c r="DN21" s="99">
        <f t="shared" si="27"/>
        <v>1414861.7182310256</v>
      </c>
      <c r="DO21" s="99">
        <f t="shared" si="27"/>
        <v>1449207.3051849331</v>
      </c>
      <c r="DP21" s="99">
        <f t="shared" si="27"/>
        <v>1484508.2611863983</v>
      </c>
      <c r="DQ21" s="99">
        <f t="shared" ref="DQ21:DT21" si="30">SUM(DQ17:DQ20)</f>
        <v>1520792.5020541993</v>
      </c>
      <c r="DR21" s="99">
        <f t="shared" si="30"/>
        <v>1558088.7730227036</v>
      </c>
      <c r="DS21" s="99">
        <f t="shared" si="30"/>
        <v>1596426.6735293025</v>
      </c>
      <c r="DT21" s="99">
        <f t="shared" si="30"/>
        <v>1635836.6827442541</v>
      </c>
      <c r="DU21" s="99">
        <f t="shared" ref="DU21:DX21" si="31">SUM(DU17:DU20)</f>
        <v>1676350.1858652048</v>
      </c>
      <c r="DV21" s="99">
        <f t="shared" si="31"/>
        <v>1717999.5011992969</v>
      </c>
      <c r="DW21" s="99">
        <f t="shared" si="31"/>
        <v>1760817.9080564871</v>
      </c>
      <c r="DX21" s="99">
        <f t="shared" si="31"/>
        <v>1804839.6754783862</v>
      </c>
    </row>
    <row r="22" spans="1:128" s="33" customFormat="1" ht="10.199999999999999">
      <c r="A22" s="113" t="s">
        <v>53</v>
      </c>
      <c r="B22" s="113"/>
      <c r="C22" s="113"/>
      <c r="D22" s="113"/>
      <c r="E22" s="113"/>
      <c r="F22" s="113"/>
      <c r="G22" s="113"/>
      <c r="H22" s="105"/>
      <c r="I22" s="105"/>
      <c r="J22" s="105"/>
      <c r="K22" s="105"/>
      <c r="L22" s="105"/>
      <c r="M22" s="105"/>
      <c r="N22" s="105"/>
      <c r="O22" s="105"/>
      <c r="P22" s="105"/>
      <c r="Q22" s="104"/>
      <c r="R22" s="104"/>
      <c r="S22" s="104"/>
      <c r="T22" s="598"/>
      <c r="U22" s="103"/>
      <c r="V22" s="103"/>
      <c r="W22" s="103"/>
      <c r="X22" s="103"/>
      <c r="Y22" s="103"/>
      <c r="Z22" s="103"/>
      <c r="AB22" s="113" t="str">
        <f t="shared" si="0"/>
        <v>Insurance premiums and claims</v>
      </c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566"/>
      <c r="CL22" s="566"/>
      <c r="CM22" s="566"/>
      <c r="CN22" s="566"/>
      <c r="CO22" s="566"/>
      <c r="CP22" s="566"/>
      <c r="CQ22" s="566"/>
      <c r="CR22" s="566"/>
      <c r="CS22" s="566"/>
      <c r="CT22" s="566"/>
      <c r="CU22" s="566"/>
      <c r="CV22" s="566"/>
      <c r="CW22" s="566"/>
      <c r="CX22" s="583"/>
      <c r="CY22" s="566"/>
      <c r="CZ22" s="583"/>
      <c r="DA22" s="566"/>
      <c r="DB22" s="566"/>
      <c r="DC22" s="566"/>
      <c r="DD22" s="566"/>
      <c r="DE22" s="566"/>
      <c r="DF22" s="566"/>
      <c r="DG22" s="566"/>
      <c r="DH22" s="566"/>
      <c r="DI22" s="566"/>
      <c r="DJ22" s="566"/>
      <c r="DK22" s="566"/>
      <c r="DL22" s="566"/>
      <c r="DM22" s="566"/>
      <c r="DN22" s="566"/>
      <c r="DO22" s="566"/>
      <c r="DP22" s="566"/>
      <c r="DQ22" s="566"/>
      <c r="DR22" s="566"/>
      <c r="DS22" s="566"/>
      <c r="DT22" s="566"/>
      <c r="DU22" s="566"/>
      <c r="DV22" s="566"/>
      <c r="DW22" s="566"/>
      <c r="DX22" s="566"/>
    </row>
    <row r="23" spans="1:128" s="33" customFormat="1" ht="10.199999999999999">
      <c r="A23" s="113" t="s">
        <v>52</v>
      </c>
      <c r="B23" s="113"/>
      <c r="C23" s="113"/>
      <c r="D23" s="113"/>
      <c r="E23" s="113"/>
      <c r="F23" s="113"/>
      <c r="G23" s="113"/>
      <c r="H23" s="105"/>
      <c r="I23" s="105"/>
      <c r="J23" s="105"/>
      <c r="K23" s="105"/>
      <c r="L23" s="105"/>
      <c r="M23" s="105"/>
      <c r="N23" s="105">
        <f>SUM(BY23:CB23)</f>
        <v>1274178.1090906707</v>
      </c>
      <c r="O23" s="105">
        <f>SUM(CC23:CF23)</f>
        <v>1356822.7506188098</v>
      </c>
      <c r="P23" s="105">
        <f>SUM(CG23:CJ23)</f>
        <v>1548645.3447251995</v>
      </c>
      <c r="Q23" s="104">
        <f>SUM(CK23:CN23)</f>
        <v>1853364.12636583</v>
      </c>
      <c r="R23" s="104">
        <f>SUM(CO23:CR23)</f>
        <v>2136548.6999424603</v>
      </c>
      <c r="S23" s="104">
        <f>SUM(CS23:CV23)</f>
        <v>2188240</v>
      </c>
      <c r="T23" s="598">
        <f>SUM(CW23:CZ23)</f>
        <v>1700478</v>
      </c>
      <c r="U23" s="103">
        <f>SUM(DA23:DD23)</f>
        <v>1877384.865</v>
      </c>
      <c r="V23" s="103">
        <f>SUM(DE23:DH23)</f>
        <v>2158992.5947500002</v>
      </c>
      <c r="W23" s="103">
        <f>SUM(DI23:DL23)</f>
        <v>2482841.4839624995</v>
      </c>
      <c r="X23" s="103">
        <f>SUM(DM23:DP23)</f>
        <v>2855267.7065568743</v>
      </c>
      <c r="Y23" s="103">
        <f>SUM(DQ23:DT23)</f>
        <v>3283557.8625404057</v>
      </c>
      <c r="Z23" s="103">
        <f>SUM(DU23:DX23)</f>
        <v>3776091.5419214657</v>
      </c>
      <c r="AB23" s="113" t="str">
        <f t="shared" si="0"/>
        <v>Net premiums earned</v>
      </c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/>
      <c r="BX23" s="113"/>
      <c r="BY23" s="110">
        <v>316565.95558379998</v>
      </c>
      <c r="BZ23" s="110">
        <v>304608.10896904999</v>
      </c>
      <c r="CA23" s="110">
        <v>320186.73619175982</v>
      </c>
      <c r="CB23" s="110">
        <v>332817.30834606092</v>
      </c>
      <c r="CC23" s="110">
        <v>316191.27712362004</v>
      </c>
      <c r="CD23" s="110">
        <v>345200.07915637991</v>
      </c>
      <c r="CE23" s="110">
        <v>338250.52677225019</v>
      </c>
      <c r="CF23" s="110">
        <v>357180.8675665597</v>
      </c>
      <c r="CG23" s="110">
        <v>370234.12883349013</v>
      </c>
      <c r="CH23" s="110">
        <v>390225.09500990977</v>
      </c>
      <c r="CI23" s="110">
        <v>416640.10795066017</v>
      </c>
      <c r="CJ23" s="110">
        <v>371546.01293113944</v>
      </c>
      <c r="CK23" s="110">
        <v>424485.58243357996</v>
      </c>
      <c r="CL23" s="110">
        <v>459810.99173242005</v>
      </c>
      <c r="CM23" s="110">
        <v>477973.93841692002</v>
      </c>
      <c r="CN23" s="110">
        <v>491093.61378290993</v>
      </c>
      <c r="CO23" s="110">
        <v>502006.88075570995</v>
      </c>
      <c r="CP23" s="110">
        <v>540034.74867816002</v>
      </c>
      <c r="CQ23" s="110">
        <v>569575.55232216034</v>
      </c>
      <c r="CR23" s="110">
        <v>524931.51818642998</v>
      </c>
      <c r="CS23" s="110">
        <v>518498</v>
      </c>
      <c r="CT23" s="110">
        <v>544731</v>
      </c>
      <c r="CU23" s="110">
        <v>555160</v>
      </c>
      <c r="CV23" s="110">
        <v>569851</v>
      </c>
      <c r="CW23" s="110">
        <v>404496</v>
      </c>
      <c r="CX23" s="110">
        <v>427044</v>
      </c>
      <c r="CY23" s="110">
        <v>432777</v>
      </c>
      <c r="CZ23" s="110">
        <v>436161</v>
      </c>
      <c r="DA23" s="108">
        <f>(1+Assumptions!DA33)*'Income Statement'!CW23</f>
        <v>440900.64</v>
      </c>
      <c r="DB23" s="108">
        <f>(1+Assumptions!DB33)*'Income Statement'!CX23</f>
        <v>469748.4</v>
      </c>
      <c r="DC23" s="108">
        <f>(1+Assumptions!DC33)*'Income Statement'!CY23</f>
        <v>476054.7</v>
      </c>
      <c r="DD23" s="108">
        <f>(1+Assumptions!DD33)*'Income Statement'!CZ23</f>
        <v>490681.125</v>
      </c>
      <c r="DE23" s="108">
        <f>(1+Assumptions!DE33)*'Income Statement'!DA23</f>
        <v>507035.73599999998</v>
      </c>
      <c r="DF23" s="108">
        <f>(1+Assumptions!DF33)*'Income Statement'!DB23</f>
        <v>540210.66</v>
      </c>
      <c r="DG23" s="108">
        <f>(1+Assumptions!DG33)*'Income Statement'!DC23</f>
        <v>547462.90500000003</v>
      </c>
      <c r="DH23" s="108">
        <f>(1+Assumptions!DH33)*'Income Statement'!DD23</f>
        <v>564283.29374999995</v>
      </c>
      <c r="DI23" s="108">
        <f>(1+Assumptions!DI33)*'Income Statement'!DE23</f>
        <v>583091.09639999992</v>
      </c>
      <c r="DJ23" s="108">
        <f>(1+Assumptions!DJ33)*'Income Statement'!DF23</f>
        <v>621242.25899999996</v>
      </c>
      <c r="DK23" s="108">
        <f>(1+Assumptions!DK33)*'Income Statement'!DG23</f>
        <v>629582.34074999997</v>
      </c>
      <c r="DL23" s="108">
        <f>(1+Assumptions!DL33)*'Income Statement'!DH23</f>
        <v>648925.78781249991</v>
      </c>
      <c r="DM23" s="108">
        <f>(1+Assumptions!DM33)*'Income Statement'!DI23</f>
        <v>670554.76085999981</v>
      </c>
      <c r="DN23" s="108">
        <f>(1+Assumptions!DN33)*'Income Statement'!DJ23</f>
        <v>714428.5978499999</v>
      </c>
      <c r="DO23" s="108">
        <f>(1+Assumptions!DO33)*'Income Statement'!DK23</f>
        <v>724019.69186249992</v>
      </c>
      <c r="DP23" s="108">
        <f>(1+Assumptions!DP33)*'Income Statement'!DL23</f>
        <v>746264.65598437481</v>
      </c>
      <c r="DQ23" s="108">
        <f>(1+Assumptions!DQ33)*'Income Statement'!DM23</f>
        <v>771137.97498899966</v>
      </c>
      <c r="DR23" s="108">
        <f>(1+Assumptions!DR33)*'Income Statement'!DN23</f>
        <v>821592.88752749981</v>
      </c>
      <c r="DS23" s="108">
        <f>(1+Assumptions!DS33)*'Income Statement'!DO23</f>
        <v>832622.64564187487</v>
      </c>
      <c r="DT23" s="108">
        <f>(1+Assumptions!DT33)*'Income Statement'!DP23</f>
        <v>858204.35438203102</v>
      </c>
      <c r="DU23" s="108">
        <f>(1+Assumptions!DU33)*'Income Statement'!DQ23</f>
        <v>886808.67123734951</v>
      </c>
      <c r="DV23" s="108">
        <f>(1+Assumptions!DV33)*'Income Statement'!DR23</f>
        <v>944831.82065662474</v>
      </c>
      <c r="DW23" s="108">
        <f>(1+Assumptions!DW33)*'Income Statement'!DS23</f>
        <v>957516.042488156</v>
      </c>
      <c r="DX23" s="108">
        <f>(1+Assumptions!DX33)*'Income Statement'!DT23</f>
        <v>986935.00753933564</v>
      </c>
    </row>
    <row r="24" spans="1:128" s="33" customFormat="1" ht="10.199999999999999">
      <c r="A24" s="113" t="s">
        <v>51</v>
      </c>
      <c r="B24" s="113"/>
      <c r="C24" s="113"/>
      <c r="D24" s="113"/>
      <c r="E24" s="113"/>
      <c r="F24" s="113"/>
      <c r="G24" s="113"/>
      <c r="H24" s="105"/>
      <c r="I24" s="105"/>
      <c r="J24" s="105"/>
      <c r="K24" s="105"/>
      <c r="L24" s="105"/>
      <c r="M24" s="105"/>
      <c r="N24" s="105">
        <f>SUM(BY24:CB24)</f>
        <v>-861084.35255280999</v>
      </c>
      <c r="O24" s="105">
        <f>SUM(CC24:CF24)</f>
        <v>-891544.7479212801</v>
      </c>
      <c r="P24" s="105">
        <f>SUM(CG24:CJ24)</f>
        <v>-1018438.28020296</v>
      </c>
      <c r="Q24" s="104">
        <f>SUM(CK24:CN24)</f>
        <v>-1220373.8072235396</v>
      </c>
      <c r="R24" s="104">
        <f>SUM(CO24:CR24)</f>
        <v>-1465577.6798198598</v>
      </c>
      <c r="S24" s="104">
        <f>SUM(CS24:CV24)</f>
        <v>-1426733</v>
      </c>
      <c r="T24" s="598">
        <f>SUM(CW24:CZ24)</f>
        <v>-1031659</v>
      </c>
      <c r="U24" s="103">
        <f>SUM(DA24:DD24)</f>
        <v>-1186201.8027425171</v>
      </c>
      <c r="V24" s="103">
        <f>SUM(DE24:DH24)</f>
        <v>-1342542.1472063952</v>
      </c>
      <c r="W24" s="103">
        <f>SUM(DI24:DL24)</f>
        <v>-1519095.0544477298</v>
      </c>
      <c r="X24" s="103">
        <f>SUM(DM24:DP24)</f>
        <v>-1718406.6355493208</v>
      </c>
      <c r="Y24" s="103">
        <f>SUM(DQ24:DT24)</f>
        <v>-1943332.0522563155</v>
      </c>
      <c r="Z24" s="103">
        <f>SUM(DU24:DX24)</f>
        <v>-2197070.9446755489</v>
      </c>
      <c r="AB24" s="113" t="str">
        <f t="shared" si="0"/>
        <v>Net claims incurred</v>
      </c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3"/>
      <c r="BY24" s="110">
        <v>-225549.74513867998</v>
      </c>
      <c r="BZ24" s="110">
        <v>-218562.49939395001</v>
      </c>
      <c r="CA24" s="110">
        <v>-214308.58030556003</v>
      </c>
      <c r="CB24" s="110">
        <v>-202663.52771462</v>
      </c>
      <c r="CC24" s="110">
        <v>-223691.65406586</v>
      </c>
      <c r="CD24" s="110">
        <v>-215938.4877915</v>
      </c>
      <c r="CE24" s="110">
        <v>-214243.21941212</v>
      </c>
      <c r="CF24" s="110">
        <v>-237671.38665180007</v>
      </c>
      <c r="CG24" s="110">
        <v>-230696.29336248999</v>
      </c>
      <c r="CH24" s="110">
        <v>-243346.97913163999</v>
      </c>
      <c r="CI24" s="110">
        <v>-281521.60950311</v>
      </c>
      <c r="CJ24" s="110">
        <v>-262873.39820572</v>
      </c>
      <c r="CK24" s="110">
        <v>-338686.50334659999</v>
      </c>
      <c r="CL24" s="110">
        <v>-277842.31226141995</v>
      </c>
      <c r="CM24" s="110">
        <v>-288901.59778247972</v>
      </c>
      <c r="CN24" s="110">
        <v>-314943.39383303997</v>
      </c>
      <c r="CO24" s="110">
        <v>-340322.90827270004</v>
      </c>
      <c r="CP24" s="110">
        <v>-376822.47476428002</v>
      </c>
      <c r="CQ24" s="110">
        <v>-386645.66556395026</v>
      </c>
      <c r="CR24" s="110">
        <v>-361786.6312189296</v>
      </c>
      <c r="CS24" s="110">
        <v>-336830</v>
      </c>
      <c r="CT24" s="110">
        <v>-356355</v>
      </c>
      <c r="CU24" s="110">
        <v>-358492</v>
      </c>
      <c r="CV24" s="110">
        <v>-375056</v>
      </c>
      <c r="CW24" s="110">
        <v>-232275</v>
      </c>
      <c r="CX24" s="110">
        <v>-255382</v>
      </c>
      <c r="CY24" s="110">
        <v>-265648</v>
      </c>
      <c r="CZ24" s="110">
        <v>-278354</v>
      </c>
      <c r="DA24" s="108">
        <f>-Assumptions!DA34*'Income Statement'!DA23</f>
        <v>-280276.5437222778</v>
      </c>
      <c r="DB24" s="108">
        <f>-Assumptions!DB34*'Income Statement'!DB23</f>
        <v>-297440.43248740264</v>
      </c>
      <c r="DC24" s="108">
        <f>-Assumptions!DC34*'Income Statement'!DC23</f>
        <v>-300243.38778283657</v>
      </c>
      <c r="DD24" s="108">
        <f>-Assumptions!DD34*'Income Statement'!DD23</f>
        <v>-308241.43875000009</v>
      </c>
      <c r="DE24" s="108">
        <f>-Assumptions!DE34*'Income Statement'!DE23</f>
        <v>-317247.6679206196</v>
      </c>
      <c r="DF24" s="108">
        <f>-Assumptions!DF34*'Income Statement'!DF23</f>
        <v>-336654.3907605132</v>
      </c>
      <c r="DG24" s="108">
        <f>-Assumptions!DG34*'Income Statement'!DG23</f>
        <v>-339805.26690026221</v>
      </c>
      <c r="DH24" s="108">
        <f>-Assumptions!DH34*'Income Statement'!DH23</f>
        <v>-348834.82162500022</v>
      </c>
      <c r="DI24" s="108">
        <f>-Assumptions!DI34*'Income Statement'!DI23</f>
        <v>-359003.90714471263</v>
      </c>
      <c r="DJ24" s="108">
        <f>-Assumptions!DJ34*'Income Statement'!DJ23</f>
        <v>-380940.12678459025</v>
      </c>
      <c r="DK24" s="108">
        <f>-Assumptions!DK34*'Income Statement'!DK23</f>
        <v>-384480.23352780164</v>
      </c>
      <c r="DL24" s="108">
        <f>-Assumptions!DL34*'Income Statement'!DL23</f>
        <v>-394670.78699062538</v>
      </c>
      <c r="DM24" s="108">
        <f>-Assumptions!DM34*'Income Statement'!DM23</f>
        <v>-406148.94560781959</v>
      </c>
      <c r="DN24" s="108">
        <f>-Assumptions!DN34*'Income Statement'!DN23</f>
        <v>-430936.85982377891</v>
      </c>
      <c r="DO24" s="108">
        <f>-Assumptions!DO34*'Income Statement'!DO23</f>
        <v>-434912.071638347</v>
      </c>
      <c r="DP24" s="108">
        <f>-Assumptions!DP34*'Income Statement'!DP23</f>
        <v>-446408.75847937551</v>
      </c>
      <c r="DQ24" s="108">
        <f>-Assumptions!DQ34*'Income Statement'!DQ23</f>
        <v>-459359.90769910259</v>
      </c>
      <c r="DR24" s="108">
        <f>-Assumptions!DR34*'Income Statement'!DR23</f>
        <v>-487361.45992207085</v>
      </c>
      <c r="DS24" s="108">
        <f>-Assumptions!DS34*'Income Statement'!DS23</f>
        <v>-491822.65592768043</v>
      </c>
      <c r="DT24" s="108">
        <f>-Assumptions!DT34*'Income Statement'!DT23</f>
        <v>-504788.02870746172</v>
      </c>
      <c r="DU24" s="108">
        <f>-Assumptions!DU34*'Income Statement'!DU23</f>
        <v>-519395.80714159465</v>
      </c>
      <c r="DV24" s="108">
        <f>-Assumptions!DV34*'Income Statement'!DV23</f>
        <v>-551017.36070381547</v>
      </c>
      <c r="DW24" s="108">
        <f>-Assumptions!DW34*'Income Statement'!DW23</f>
        <v>-556020.89389195107</v>
      </c>
      <c r="DX24" s="108">
        <f>-Assumptions!DX34*'Income Statement'!DX23</f>
        <v>-570636.8829381878</v>
      </c>
    </row>
    <row r="25" spans="1:128" s="33" customFormat="1" ht="10.199999999999999">
      <c r="A25" s="113" t="s">
        <v>450</v>
      </c>
      <c r="B25" s="113"/>
      <c r="C25" s="113"/>
      <c r="D25" s="113"/>
      <c r="E25" s="113"/>
      <c r="F25" s="113"/>
      <c r="G25" s="113"/>
      <c r="H25" s="105"/>
      <c r="I25" s="105"/>
      <c r="J25" s="105"/>
      <c r="K25" s="105"/>
      <c r="L25" s="105"/>
      <c r="M25" s="105"/>
      <c r="N25" s="105">
        <f>SUM(BY25:CB25)</f>
        <v>0</v>
      </c>
      <c r="O25" s="105">
        <f>SUM(CC25:CF25)</f>
        <v>0</v>
      </c>
      <c r="P25" s="105">
        <f>SUM(CG25:CJ25)</f>
        <v>-210664.11947224001</v>
      </c>
      <c r="Q25" s="104">
        <f>SUM(CK25:CN25)</f>
        <v>-258312.13780445998</v>
      </c>
      <c r="R25" s="104">
        <f>SUM(CO25:CR25)</f>
        <v>-287100.02715690015</v>
      </c>
      <c r="S25" s="104">
        <f>SUM(CS25:CV25)</f>
        <v>-338608</v>
      </c>
      <c r="T25" s="598">
        <f>SUM(CW25:CZ25)</f>
        <v>-192583</v>
      </c>
      <c r="U25" s="103">
        <f>SUM(DA25:DD25)</f>
        <v>-97001.949328164003</v>
      </c>
      <c r="V25" s="103">
        <f>SUM(DE25:DH25)</f>
        <v>-102521.67381884008</v>
      </c>
      <c r="W25" s="103">
        <f>SUM(DI25:DL25)</f>
        <v>-108548.80086192387</v>
      </c>
      <c r="X25" s="103">
        <f>SUM(DM25:DP25)</f>
        <v>-115153.0188971825</v>
      </c>
      <c r="Y25" s="103">
        <f>SUM(DQ25:DT25)</f>
        <v>-122451.50217777916</v>
      </c>
      <c r="Z25" s="103">
        <f>SUM(DU25:DX25)</f>
        <v>-130329.21548454967</v>
      </c>
      <c r="AB25" s="113" t="str">
        <f t="shared" si="0"/>
        <v>Net technical commissions and Expenses</v>
      </c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/>
      <c r="BX25" s="113"/>
      <c r="BY25" s="110">
        <v>0</v>
      </c>
      <c r="BZ25" s="110">
        <v>0</v>
      </c>
      <c r="CA25" s="110">
        <v>0</v>
      </c>
      <c r="CB25" s="110">
        <v>0</v>
      </c>
      <c r="CC25" s="110">
        <v>0</v>
      </c>
      <c r="CD25" s="110">
        <v>0</v>
      </c>
      <c r="CE25" s="110">
        <v>0</v>
      </c>
      <c r="CF25" s="110">
        <v>0</v>
      </c>
      <c r="CG25" s="110">
        <v>-55584.726618659988</v>
      </c>
      <c r="CH25" s="110">
        <v>-58023.887094680045</v>
      </c>
      <c r="CI25" s="110">
        <v>-52251.287858529991</v>
      </c>
      <c r="CJ25" s="110">
        <v>-44804.217900369986</v>
      </c>
      <c r="CK25" s="110">
        <v>-64624.044768229985</v>
      </c>
      <c r="CL25" s="110">
        <v>-81798.023313900005</v>
      </c>
      <c r="CM25" s="110">
        <v>-67056.898677249992</v>
      </c>
      <c r="CN25" s="110">
        <v>-44833.171045080002</v>
      </c>
      <c r="CO25" s="110">
        <v>-69380.753635010013</v>
      </c>
      <c r="CP25" s="110">
        <v>-80754.407066719956</v>
      </c>
      <c r="CQ25" s="110">
        <v>-76626.396194829955</v>
      </c>
      <c r="CR25" s="110">
        <v>-60338.470260340226</v>
      </c>
      <c r="CS25" s="110">
        <v>-84565</v>
      </c>
      <c r="CT25" s="110">
        <v>-84211</v>
      </c>
      <c r="CU25" s="110">
        <v>-79030</v>
      </c>
      <c r="CV25" s="110">
        <v>-90802</v>
      </c>
      <c r="CW25" s="110">
        <v>-75970</v>
      </c>
      <c r="CX25" s="110">
        <v>-51314</v>
      </c>
      <c r="CY25" s="110">
        <v>-41884</v>
      </c>
      <c r="CZ25" s="110">
        <v>-23415</v>
      </c>
      <c r="DA25" s="108">
        <f>(1+Assumptions!DA35)*'Income Statement'!CZ25</f>
        <v>-23740.557557401207</v>
      </c>
      <c r="DB25" s="108">
        <f>(1+Assumptions!DB35)*'Income Statement'!DA25</f>
        <v>-24082.19330943497</v>
      </c>
      <c r="DC25" s="108">
        <f>(1+Assumptions!DC35)*'Income Statement'!DB25</f>
        <v>-24424.868353302194</v>
      </c>
      <c r="DD25" s="108">
        <f>(1+Assumptions!DD35)*'Income Statement'!DC25</f>
        <v>-24754.330108025635</v>
      </c>
      <c r="DE25" s="108">
        <f>(1+Assumptions!DE35)*'Income Statement'!DD25</f>
        <v>-25100.485022941506</v>
      </c>
      <c r="DF25" s="108">
        <f>(1+Assumptions!DF35)*'Income Statement'!DE25</f>
        <v>-25447.394508171594</v>
      </c>
      <c r="DG25" s="108">
        <f>(1+Assumptions!DG35)*'Income Statement'!DF25</f>
        <v>-25803.285715607853</v>
      </c>
      <c r="DH25" s="108">
        <f>(1+Assumptions!DH35)*'Income Statement'!DG25</f>
        <v>-26170.508572119124</v>
      </c>
      <c r="DI25" s="108">
        <f>(1+Assumptions!DI35)*'Income Statement'!DH25</f>
        <v>-26547.262687053124</v>
      </c>
      <c r="DJ25" s="108">
        <f>(1+Assumptions!DJ35)*'Income Statement'!DI25</f>
        <v>-26933.80553517989</v>
      </c>
      <c r="DK25" s="108">
        <f>(1+Assumptions!DK35)*'Income Statement'!DJ25</f>
        <v>-27330.402996011566</v>
      </c>
      <c r="DL25" s="108">
        <f>(1+Assumptions!DL35)*'Income Statement'!DK25</f>
        <v>-27737.329643679284</v>
      </c>
      <c r="DM25" s="108">
        <f>(1+Assumptions!DM35)*'Income Statement'!DL25</f>
        <v>-28150.3150858919</v>
      </c>
      <c r="DN25" s="108">
        <f>(1+Assumptions!DN35)*'Income Statement'!DM25</f>
        <v>-28569.449532989649</v>
      </c>
      <c r="DO25" s="108">
        <f>(1+Assumptions!DO35)*'Income Statement'!DN25</f>
        <v>-28994.824538468645</v>
      </c>
      <c r="DP25" s="108">
        <f>(1+Assumptions!DP35)*'Income Statement'!DO25</f>
        <v>-29438.429739832311</v>
      </c>
      <c r="DQ25" s="108">
        <f>(1+Assumptions!DQ35)*'Income Statement'!DP25</f>
        <v>-29900.88597004228</v>
      </c>
      <c r="DR25" s="108">
        <f>(1+Assumptions!DR35)*'Income Statement'!DQ25</f>
        <v>-30370.6070498638</v>
      </c>
      <c r="DS25" s="108">
        <f>(1+Assumptions!DS35)*'Income Statement'!DR25</f>
        <v>-30847.707104778223</v>
      </c>
      <c r="DT25" s="108">
        <f>(1+Assumptions!DT35)*'Income Statement'!DS25</f>
        <v>-31332.302053094863</v>
      </c>
      <c r="DU25" s="108">
        <f>(1+Assumptions!DU35)*'Income Statement'!DT25</f>
        <v>-31824.509634115009</v>
      </c>
      <c r="DV25" s="108">
        <f>(1+Assumptions!DV35)*'Income Statement'!DU25</f>
        <v>-32324.449436738378</v>
      </c>
      <c r="DW25" s="108">
        <f>(1+Assumptions!DW35)*'Income Statement'!DV25</f>
        <v>-32832.242928518965</v>
      </c>
      <c r="DX25" s="108">
        <f>(1+Assumptions!DX35)*'Income Statement'!DW25</f>
        <v>-33348.013485177311</v>
      </c>
    </row>
    <row r="26" spans="1:128" s="106" customFormat="1" ht="10.199999999999999">
      <c r="A26" s="111" t="s">
        <v>50</v>
      </c>
      <c r="B26" s="111"/>
      <c r="C26" s="111"/>
      <c r="D26" s="111"/>
      <c r="E26" s="111"/>
      <c r="F26" s="111"/>
      <c r="G26" s="111"/>
      <c r="H26" s="101"/>
      <c r="I26" s="101"/>
      <c r="J26" s="101"/>
      <c r="K26" s="101"/>
      <c r="L26" s="101"/>
      <c r="M26" s="101"/>
      <c r="N26" s="101">
        <f t="shared" ref="N26:X26" si="32">SUM(N23:N25)</f>
        <v>413093.75653786073</v>
      </c>
      <c r="O26" s="101">
        <f t="shared" si="32"/>
        <v>465278.00269752974</v>
      </c>
      <c r="P26" s="101">
        <f t="shared" si="32"/>
        <v>319542.94504999951</v>
      </c>
      <c r="Q26" s="100">
        <f t="shared" si="32"/>
        <v>374678.18133783038</v>
      </c>
      <c r="R26" s="100">
        <f t="shared" si="32"/>
        <v>383870.99296570034</v>
      </c>
      <c r="S26" s="100">
        <f t="shared" si="32"/>
        <v>422899</v>
      </c>
      <c r="T26" s="117">
        <f t="shared" si="32"/>
        <v>476236</v>
      </c>
      <c r="U26" s="99">
        <f t="shared" si="32"/>
        <v>594181.11292931892</v>
      </c>
      <c r="V26" s="99">
        <f t="shared" si="32"/>
        <v>713928.77372476493</v>
      </c>
      <c r="W26" s="99">
        <f t="shared" si="32"/>
        <v>855197.62865284586</v>
      </c>
      <c r="X26" s="99">
        <f t="shared" si="32"/>
        <v>1021708.0521103709</v>
      </c>
      <c r="Y26" s="99">
        <f t="shared" ref="Y26:Z26" si="33">SUM(Y23:Y25)</f>
        <v>1217774.3081063111</v>
      </c>
      <c r="Z26" s="99">
        <f t="shared" si="33"/>
        <v>1448691.381761367</v>
      </c>
      <c r="AB26" s="111" t="str">
        <f t="shared" si="0"/>
        <v>Total other operating income, net</v>
      </c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01">
        <f t="shared" ref="BY26:CQ26" si="34">SUM(BY23:BY25)</f>
        <v>91016.210445119999</v>
      </c>
      <c r="BZ26" s="101">
        <f t="shared" si="34"/>
        <v>86045.609575099981</v>
      </c>
      <c r="CA26" s="101">
        <f t="shared" si="34"/>
        <v>105878.15588619979</v>
      </c>
      <c r="CB26" s="101">
        <f t="shared" si="34"/>
        <v>130153.78063144092</v>
      </c>
      <c r="CC26" s="101">
        <f t="shared" si="34"/>
        <v>92499.623057760036</v>
      </c>
      <c r="CD26" s="101">
        <f t="shared" si="34"/>
        <v>129261.59136487992</v>
      </c>
      <c r="CE26" s="101">
        <f t="shared" si="34"/>
        <v>124007.30736013019</v>
      </c>
      <c r="CF26" s="101">
        <f t="shared" si="34"/>
        <v>119509.48091475962</v>
      </c>
      <c r="CG26" s="101">
        <f t="shared" si="34"/>
        <v>83953.108852340156</v>
      </c>
      <c r="CH26" s="101">
        <f t="shared" si="34"/>
        <v>88854.22878358973</v>
      </c>
      <c r="CI26" s="101">
        <f t="shared" si="34"/>
        <v>82867.210589020178</v>
      </c>
      <c r="CJ26" s="101">
        <f t="shared" si="34"/>
        <v>63868.396825049451</v>
      </c>
      <c r="CK26" s="101">
        <f t="shared" si="34"/>
        <v>21175.034318749982</v>
      </c>
      <c r="CL26" s="101">
        <f t="shared" si="34"/>
        <v>100170.65615710009</v>
      </c>
      <c r="CM26" s="101">
        <f t="shared" si="34"/>
        <v>122015.44195719031</v>
      </c>
      <c r="CN26" s="101">
        <f t="shared" si="34"/>
        <v>131317.04890478996</v>
      </c>
      <c r="CO26" s="101">
        <f t="shared" si="34"/>
        <v>92303.218847999902</v>
      </c>
      <c r="CP26" s="101">
        <f t="shared" si="34"/>
        <v>82457.866847160039</v>
      </c>
      <c r="CQ26" s="101">
        <f t="shared" si="34"/>
        <v>106303.49056338012</v>
      </c>
      <c r="CR26" s="101">
        <f t="shared" ref="CR26" si="35">SUM(CR23:CR25)</f>
        <v>102806.41670716016</v>
      </c>
      <c r="CS26" s="101">
        <f>SUM(CS23:CS25)</f>
        <v>97103</v>
      </c>
      <c r="CT26" s="101">
        <f t="shared" ref="CT26:DP26" si="36">SUM(CT23:CT25)</f>
        <v>104165</v>
      </c>
      <c r="CU26" s="101">
        <f t="shared" ref="CU26:CV26" si="37">SUM(CU23:CU25)</f>
        <v>117638</v>
      </c>
      <c r="CV26" s="101">
        <f t="shared" si="37"/>
        <v>103993</v>
      </c>
      <c r="CW26" s="101">
        <f t="shared" ref="CW26:CZ26" si="38">SUM(CW23:CW25)</f>
        <v>96251</v>
      </c>
      <c r="CX26" s="117">
        <f t="shared" si="38"/>
        <v>120348</v>
      </c>
      <c r="CY26" s="117">
        <f t="shared" si="38"/>
        <v>125245</v>
      </c>
      <c r="CZ26" s="117">
        <f t="shared" si="38"/>
        <v>134392</v>
      </c>
      <c r="DA26" s="99">
        <f t="shared" si="36"/>
        <v>136883.538720321</v>
      </c>
      <c r="DB26" s="99">
        <f t="shared" si="36"/>
        <v>148225.77420316241</v>
      </c>
      <c r="DC26" s="99">
        <f t="shared" si="36"/>
        <v>151386.44386386126</v>
      </c>
      <c r="DD26" s="99">
        <f t="shared" si="36"/>
        <v>157685.35614197428</v>
      </c>
      <c r="DE26" s="99">
        <f t="shared" si="36"/>
        <v>164687.58305643886</v>
      </c>
      <c r="DF26" s="99">
        <f t="shared" si="36"/>
        <v>178108.87473131524</v>
      </c>
      <c r="DG26" s="99">
        <f t="shared" si="36"/>
        <v>181854.35238412995</v>
      </c>
      <c r="DH26" s="99">
        <f t="shared" si="36"/>
        <v>189277.96355288062</v>
      </c>
      <c r="DI26" s="99">
        <f t="shared" si="36"/>
        <v>197539.92656823416</v>
      </c>
      <c r="DJ26" s="99">
        <f t="shared" si="36"/>
        <v>213368.32668022983</v>
      </c>
      <c r="DK26" s="99">
        <f t="shared" si="36"/>
        <v>217771.70422618676</v>
      </c>
      <c r="DL26" s="99">
        <f t="shared" si="36"/>
        <v>226517.67117819525</v>
      </c>
      <c r="DM26" s="99">
        <f t="shared" si="36"/>
        <v>236255.50016628832</v>
      </c>
      <c r="DN26" s="99">
        <f t="shared" si="36"/>
        <v>254922.28849323135</v>
      </c>
      <c r="DO26" s="99">
        <f t="shared" si="36"/>
        <v>260112.79568568428</v>
      </c>
      <c r="DP26" s="99">
        <f t="shared" si="36"/>
        <v>270417.46776516701</v>
      </c>
      <c r="DQ26" s="99">
        <f t="shared" ref="DQ26:DT26" si="39">SUM(DQ23:DQ25)</f>
        <v>281877.1813198548</v>
      </c>
      <c r="DR26" s="99">
        <f t="shared" si="39"/>
        <v>303860.82055556518</v>
      </c>
      <c r="DS26" s="99">
        <f t="shared" si="39"/>
        <v>309952.28260941623</v>
      </c>
      <c r="DT26" s="99">
        <f t="shared" si="39"/>
        <v>322084.02362147445</v>
      </c>
      <c r="DU26" s="99">
        <f t="shared" ref="DU26:DX26" si="40">SUM(DU23:DU25)</f>
        <v>335588.35446163983</v>
      </c>
      <c r="DV26" s="99">
        <f t="shared" si="40"/>
        <v>361490.01051607088</v>
      </c>
      <c r="DW26" s="99">
        <f t="shared" si="40"/>
        <v>368662.90566768596</v>
      </c>
      <c r="DX26" s="99">
        <f t="shared" si="40"/>
        <v>382950.11111597053</v>
      </c>
    </row>
    <row r="27" spans="1:128" s="33" customFormat="1" ht="10.199999999999999">
      <c r="A27" s="113" t="s">
        <v>49</v>
      </c>
      <c r="B27" s="113"/>
      <c r="C27" s="113"/>
      <c r="D27" s="113"/>
      <c r="E27" s="113"/>
      <c r="F27" s="113"/>
      <c r="G27" s="113"/>
      <c r="H27" s="105"/>
      <c r="I27" s="105"/>
      <c r="J27" s="105"/>
      <c r="K27" s="105"/>
      <c r="L27" s="105"/>
      <c r="M27" s="105"/>
      <c r="N27" s="105"/>
      <c r="O27" s="105"/>
      <c r="P27" s="105"/>
      <c r="Q27" s="104"/>
      <c r="R27" s="104"/>
      <c r="S27" s="104"/>
      <c r="T27" s="598"/>
      <c r="U27" s="103"/>
      <c r="V27" s="103"/>
      <c r="W27" s="103"/>
      <c r="X27" s="103"/>
      <c r="Y27" s="103"/>
      <c r="Z27" s="103"/>
      <c r="AB27" s="113" t="str">
        <f t="shared" si="0"/>
        <v>Operating expenses</v>
      </c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/>
      <c r="BX27" s="113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569"/>
      <c r="CT27" s="569"/>
      <c r="CU27" s="569"/>
      <c r="CV27" s="569"/>
      <c r="CW27" s="569"/>
      <c r="CX27" s="110"/>
      <c r="CY27" s="108"/>
      <c r="CZ27" s="110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</row>
    <row r="28" spans="1:128" s="33" customFormat="1" ht="10.199999999999999">
      <c r="A28" s="114" t="s">
        <v>48</v>
      </c>
      <c r="B28" s="113"/>
      <c r="C28" s="113"/>
      <c r="D28" s="113"/>
      <c r="E28" s="113"/>
      <c r="F28" s="113"/>
      <c r="G28" s="113"/>
      <c r="H28" s="105"/>
      <c r="I28" s="105"/>
      <c r="J28" s="105"/>
      <c r="K28" s="105"/>
      <c r="L28" s="105"/>
      <c r="M28" s="105"/>
      <c r="N28" s="105">
        <f>SUM(BY28:CB28)</f>
        <v>-1177659.1204909801</v>
      </c>
      <c r="O28" s="105">
        <f>SUM(CC28:CF28)</f>
        <v>-1318232.1405823303</v>
      </c>
      <c r="P28" s="105">
        <f>SUM(CG28:CJ28)</f>
        <v>-1587111.0465899201</v>
      </c>
      <c r="Q28" s="104">
        <f>SUM(CK28:CN28)</f>
        <v>-1995699.4493909006</v>
      </c>
      <c r="R28" s="104">
        <f>SUM(CO28:CR28)</f>
        <v>-2215035.2453401973</v>
      </c>
      <c r="S28" s="104">
        <f>SUM(CS28:CV28)</f>
        <v>-2659123</v>
      </c>
      <c r="T28" s="598">
        <f>SUM(CW28:CZ28)</f>
        <v>-2878318</v>
      </c>
      <c r="U28" s="103">
        <f>SUM(DA28:DD28)</f>
        <v>-3117298.461579415</v>
      </c>
      <c r="V28" s="103">
        <f>SUM(DE28:DH28)</f>
        <v>-3312298.1813209597</v>
      </c>
      <c r="W28" s="103">
        <f>SUM(DI28:DL28)</f>
        <v>-3498496.2169430042</v>
      </c>
      <c r="X28" s="103">
        <f>SUM(DM28:DP28)</f>
        <v>-3720191.2079870291</v>
      </c>
      <c r="Y28" s="103">
        <f>SUM(DQ28:DT28)</f>
        <v>-3955934.7118795151</v>
      </c>
      <c r="Z28" s="103">
        <f>SUM(DU28:DX28)</f>
        <v>-4206616.9639492957</v>
      </c>
      <c r="AB28" s="113" t="str">
        <f t="shared" si="0"/>
        <v>Salaries and employees benefits</v>
      </c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0">
        <v>-300635.47081208997</v>
      </c>
      <c r="BZ28" s="110">
        <v>-282515.64002478018</v>
      </c>
      <c r="CA28" s="110">
        <v>-281370.47064707009</v>
      </c>
      <c r="CB28" s="110">
        <v>-313137.53900703986</v>
      </c>
      <c r="CC28" s="110">
        <v>-328058.81451164995</v>
      </c>
      <c r="CD28" s="110">
        <v>-309859.30196504021</v>
      </c>
      <c r="CE28" s="110">
        <v>-322889.59765014984</v>
      </c>
      <c r="CF28" s="110">
        <v>-357424.42645549029</v>
      </c>
      <c r="CG28" s="110">
        <v>-376922.15714331996</v>
      </c>
      <c r="CH28" s="110">
        <v>-390046.87338978017</v>
      </c>
      <c r="CI28" s="110">
        <v>-405215.90348315972</v>
      </c>
      <c r="CJ28" s="110">
        <v>-414926.11257366021</v>
      </c>
      <c r="CK28" s="110">
        <v>-443072.14936819015</v>
      </c>
      <c r="CL28" s="110">
        <v>-469712.47649162967</v>
      </c>
      <c r="CM28" s="110">
        <v>-511648.01836054027</v>
      </c>
      <c r="CN28" s="110">
        <v>-571266.80517054047</v>
      </c>
      <c r="CO28" s="110">
        <v>-544796.57542309992</v>
      </c>
      <c r="CP28" s="110">
        <v>-575510.6255170597</v>
      </c>
      <c r="CQ28" s="110">
        <v>-567904.15664875461</v>
      </c>
      <c r="CR28" s="110">
        <v>-526823.88775128312</v>
      </c>
      <c r="CS28" s="110">
        <v>-607232</v>
      </c>
      <c r="CT28" s="110">
        <v>-699013</v>
      </c>
      <c r="CU28" s="110">
        <v>-672540</v>
      </c>
      <c r="CV28" s="110">
        <v>-680338</v>
      </c>
      <c r="CW28" s="110">
        <v>-715195</v>
      </c>
      <c r="CX28" s="110">
        <v>-718214</v>
      </c>
      <c r="CY28" s="110">
        <v>-703985</v>
      </c>
      <c r="CZ28" s="110">
        <v>-740924</v>
      </c>
      <c r="DA28" s="108">
        <f>-Assumptions!DA38*AVERAGE('Balance Sheet'!CZ31:DA31)</f>
        <v>-770117.48541910737</v>
      </c>
      <c r="DB28" s="108">
        <f>-Assumptions!DB38*AVERAGE('Balance Sheet'!DA31:DB31)</f>
        <v>-774532.44713760167</v>
      </c>
      <c r="DC28" s="108">
        <f>-Assumptions!DC38*AVERAGE('Balance Sheet'!DB31:DC31)</f>
        <v>-776187.84205305146</v>
      </c>
      <c r="DD28" s="108">
        <f>-Assumptions!DD38*AVERAGE('Balance Sheet'!DC31:DD31)</f>
        <v>-796460.68696965463</v>
      </c>
      <c r="DE28" s="108">
        <f>-Assumptions!DE38*AVERAGE('Balance Sheet'!DD31:DE31)</f>
        <v>-815740.55033173133</v>
      </c>
      <c r="DF28" s="108">
        <f>-Assumptions!DF38*AVERAGE('Balance Sheet'!DE31:DF31)</f>
        <v>-822665.70756179281</v>
      </c>
      <c r="DG28" s="108">
        <f>-Assumptions!DG38*AVERAGE('Balance Sheet'!DF31:DG31)</f>
        <v>-830268.73042549449</v>
      </c>
      <c r="DH28" s="108">
        <f>-Assumptions!DH38*AVERAGE('Balance Sheet'!DG31:DH31)</f>
        <v>-843623.19300194073</v>
      </c>
      <c r="DI28" s="108">
        <f>-Assumptions!DI38*AVERAGE('Balance Sheet'!DH31:DI31)</f>
        <v>-856737.01204935065</v>
      </c>
      <c r="DJ28" s="108">
        <f>-Assumptions!DJ38*AVERAGE('Balance Sheet'!DI31:DJ31)</f>
        <v>-867265.57375505799</v>
      </c>
      <c r="DK28" s="108">
        <f>-Assumptions!DK38*AVERAGE('Balance Sheet'!DJ31:DK31)</f>
        <v>-879631.67431193893</v>
      </c>
      <c r="DL28" s="108">
        <f>-Assumptions!DL38*AVERAGE('Balance Sheet'!DK31:DL31)</f>
        <v>-894861.95682665636</v>
      </c>
      <c r="DM28" s="108">
        <f>-Assumptions!DM38*AVERAGE('Balance Sheet'!DL31:DM31)</f>
        <v>-911027.28204979445</v>
      </c>
      <c r="DN28" s="108">
        <f>-Assumptions!DN38*AVERAGE('Balance Sheet'!DM31:DN31)</f>
        <v>-922223.02452355507</v>
      </c>
      <c r="DO28" s="108">
        <f>-Assumptions!DO38*AVERAGE('Balance Sheet'!DN31:DO31)</f>
        <v>-935372.74820940511</v>
      </c>
      <c r="DP28" s="108">
        <f>-Assumptions!DP38*AVERAGE('Balance Sheet'!DO31:DP31)</f>
        <v>-951568.15320427436</v>
      </c>
      <c r="DQ28" s="108">
        <f>-Assumptions!DQ38*AVERAGE('Balance Sheet'!DP31:DQ31)</f>
        <v>-968757.85330402758</v>
      </c>
      <c r="DR28" s="108">
        <f>-Assumptions!DR38*AVERAGE('Balance Sheet'!DQ31:DR31)</f>
        <v>-980663.05489208736</v>
      </c>
      <c r="DS28" s="108">
        <f>-Assumptions!DS38*AVERAGE('Balance Sheet'!DR31:DS31)</f>
        <v>-994646.05884865695</v>
      </c>
      <c r="DT28" s="108">
        <f>-Assumptions!DT38*AVERAGE('Balance Sheet'!DS31:DT31)</f>
        <v>-1011867.7448347432</v>
      </c>
      <c r="DU28" s="108">
        <f>-Assumptions!DU38*AVERAGE('Balance Sheet'!DT31:DU31)</f>
        <v>-1030146.733066696</v>
      </c>
      <c r="DV28" s="108">
        <f>-Assumptions!DV38*AVERAGE('Balance Sheet'!DU31:DV31)</f>
        <v>-1042806.3512371328</v>
      </c>
      <c r="DW28" s="108">
        <f>-Assumptions!DW38*AVERAGE('Balance Sheet'!DV31:DW31)</f>
        <v>-1057675.4393123321</v>
      </c>
      <c r="DX28" s="108">
        <f>-Assumptions!DX38*AVERAGE('Balance Sheet'!DW31:DX31)</f>
        <v>-1075988.4403331345</v>
      </c>
    </row>
    <row r="29" spans="1:128" s="33" customFormat="1" ht="10.199999999999999">
      <c r="A29" s="114" t="s">
        <v>47</v>
      </c>
      <c r="B29" s="113"/>
      <c r="C29" s="113"/>
      <c r="D29" s="113"/>
      <c r="E29" s="113"/>
      <c r="F29" s="113"/>
      <c r="G29" s="113"/>
      <c r="H29" s="105"/>
      <c r="I29" s="105"/>
      <c r="J29" s="105"/>
      <c r="K29" s="105"/>
      <c r="L29" s="105"/>
      <c r="M29" s="105"/>
      <c r="N29" s="105">
        <f>SUM(BY29:CB29)</f>
        <v>-936798.98976428004</v>
      </c>
      <c r="O29" s="105">
        <f>SUM(CC29:CF29)</f>
        <v>-963511.16389264981</v>
      </c>
      <c r="P29" s="105">
        <f>SUM(CG29:CJ29)</f>
        <v>-1095098.28109024</v>
      </c>
      <c r="Q29" s="104">
        <f>SUM(CK29:CN29)</f>
        <v>-1409471.4034530299</v>
      </c>
      <c r="R29" s="104">
        <f>SUM(CO29:CR29)</f>
        <v>-1747189.4564683046</v>
      </c>
      <c r="S29" s="104">
        <f>SUM(CS29:CV29)</f>
        <v>-1930483</v>
      </c>
      <c r="T29" s="598">
        <f>SUM(CW29:CZ29)</f>
        <v>-1934264</v>
      </c>
      <c r="U29" s="103">
        <f>SUM(DA29:DD29)</f>
        <v>-1992277.0775608427</v>
      </c>
      <c r="V29" s="103">
        <f>SUM(DE29:DH29)</f>
        <v>-2128036.4944624081</v>
      </c>
      <c r="W29" s="103">
        <f>SUM(DI29:DL29)</f>
        <v>-2347583.2023969181</v>
      </c>
      <c r="X29" s="103">
        <f>SUM(DM29:DP29)</f>
        <v>-2596459.8880158253</v>
      </c>
      <c r="Y29" s="103">
        <f>SUM(DQ29:DT29)</f>
        <v>-2871720.9865839346</v>
      </c>
      <c r="Z29" s="103">
        <f>SUM(DU29:DX29)</f>
        <v>-3176163.6152556441</v>
      </c>
      <c r="AB29" s="113" t="str">
        <f t="shared" si="0"/>
        <v>Administrative, general and tax expenses</v>
      </c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0">
        <v>-238770.30660544004</v>
      </c>
      <c r="BZ29" s="110">
        <v>-221648.13984338997</v>
      </c>
      <c r="CA29" s="110">
        <v>-207049.03229496983</v>
      </c>
      <c r="CB29" s="110">
        <v>-269331.51102048019</v>
      </c>
      <c r="CC29" s="110">
        <v>-222098.65926635999</v>
      </c>
      <c r="CD29" s="110">
        <v>-228455.98424534005</v>
      </c>
      <c r="CE29" s="110">
        <v>-228278.68655232008</v>
      </c>
      <c r="CF29" s="110">
        <v>-284677.83382862969</v>
      </c>
      <c r="CG29" s="110">
        <v>-247961.96455823997</v>
      </c>
      <c r="CH29" s="110">
        <v>-263676.56153773004</v>
      </c>
      <c r="CI29" s="110">
        <v>-273273.07258349011</v>
      </c>
      <c r="CJ29" s="110">
        <v>-310186.68241077987</v>
      </c>
      <c r="CK29" s="110">
        <v>-280282.11789086997</v>
      </c>
      <c r="CL29" s="110">
        <v>-328963.91063209996</v>
      </c>
      <c r="CM29" s="110">
        <v>-363919.96615746978</v>
      </c>
      <c r="CN29" s="110">
        <v>-436305.40877259022</v>
      </c>
      <c r="CO29" s="110">
        <v>-380151.84400300001</v>
      </c>
      <c r="CP29" s="110">
        <v>-428369.36458940018</v>
      </c>
      <c r="CQ29" s="110">
        <v>-429177.3200264608</v>
      </c>
      <c r="CR29" s="110">
        <v>-509490.92784944363</v>
      </c>
      <c r="CS29" s="110">
        <v>-391462</v>
      </c>
      <c r="CT29" s="110">
        <v>-485342</v>
      </c>
      <c r="CU29" s="110">
        <v>-487216</v>
      </c>
      <c r="CV29" s="110">
        <v>-566463</v>
      </c>
      <c r="CW29" s="110">
        <v>-431167</v>
      </c>
      <c r="CX29" s="110">
        <v>-481985</v>
      </c>
      <c r="CY29" s="110">
        <v>-496163</v>
      </c>
      <c r="CZ29" s="110">
        <f>-586487+61538</f>
        <v>-524949</v>
      </c>
      <c r="DA29" s="108">
        <f>-Assumptions!DA39*AVERAGE('Balance Sheet'!CZ31:DA31)</f>
        <v>-464885.99819015339</v>
      </c>
      <c r="DB29" s="108">
        <f>-Assumptions!DB39*AVERAGE('Balance Sheet'!DA31:DB31)</f>
        <v>-486467.88690868323</v>
      </c>
      <c r="DC29" s="108">
        <f>-Assumptions!DC39*AVERAGE('Balance Sheet'!DB31:DC31)</f>
        <v>-498599.16032999998</v>
      </c>
      <c r="DD29" s="108">
        <f>-Assumptions!DD39*AVERAGE('Balance Sheet'!DC31:DD31)</f>
        <v>-542324.03213200602</v>
      </c>
      <c r="DE29" s="108">
        <f>-Assumptions!DE39*AVERAGE('Balance Sheet'!DD31:DE31)</f>
        <v>-488883.41341672908</v>
      </c>
      <c r="DF29" s="108">
        <f>-Assumptions!DF39*AVERAGE('Balance Sheet'!DE31:DF31)</f>
        <v>-515692.83438903181</v>
      </c>
      <c r="DG29" s="108">
        <f>-Assumptions!DG39*AVERAGE('Balance Sheet'!DF31:DG31)</f>
        <v>-534441.5587657853</v>
      </c>
      <c r="DH29" s="108">
        <f>-Assumptions!DH39*AVERAGE('Balance Sheet'!DG31:DH31)</f>
        <v>-589018.68789086165</v>
      </c>
      <c r="DI29" s="108">
        <f>-Assumptions!DI39*AVERAGE('Balance Sheet'!DH31:DI31)</f>
        <v>-537439.99799856299</v>
      </c>
      <c r="DJ29" s="108">
        <f>-Assumptions!DJ39*AVERAGE('Balance Sheet'!DI31:DJ31)</f>
        <v>-568293.75326248782</v>
      </c>
      <c r="DK29" s="108">
        <f>-Assumptions!DK39*AVERAGE('Balance Sheet'!DJ31:DK31)</f>
        <v>-590386.53606694378</v>
      </c>
      <c r="DL29" s="108">
        <f>-Assumptions!DL39*AVERAGE('Balance Sheet'!DK31:DL31)</f>
        <v>-651462.9150689235</v>
      </c>
      <c r="DM29" s="108">
        <f>-Assumptions!DM39*AVERAGE('Balance Sheet'!DL31:DM31)</f>
        <v>-594416.16194638272</v>
      </c>
      <c r="DN29" s="108">
        <f>-Assumptions!DN39*AVERAGE('Balance Sheet'!DM31:DN31)</f>
        <v>-628540.84722085728</v>
      </c>
      <c r="DO29" s="108">
        <f>-Assumptions!DO39*AVERAGE('Balance Sheet'!DN31:DO31)</f>
        <v>-652975.77430154465</v>
      </c>
      <c r="DP29" s="108">
        <f>-Assumptions!DP39*AVERAGE('Balance Sheet'!DO31:DP31)</f>
        <v>-720527.1045470403</v>
      </c>
      <c r="DQ29" s="108">
        <f>-Assumptions!DQ39*AVERAGE('Balance Sheet'!DP31:DQ31)</f>
        <v>-657432.59693896654</v>
      </c>
      <c r="DR29" s="108">
        <f>-Assumptions!DR39*AVERAGE('Balance Sheet'!DQ31:DR31)</f>
        <v>-695174.97659812914</v>
      </c>
      <c r="DS29" s="108">
        <f>-Assumptions!DS39*AVERAGE('Balance Sheet'!DR31:DS31)</f>
        <v>-722200.3480383486</v>
      </c>
      <c r="DT29" s="108">
        <f>-Assumptions!DT39*AVERAGE('Balance Sheet'!DS31:DT31)</f>
        <v>-796913.06500849035</v>
      </c>
      <c r="DU29" s="108">
        <f>-Assumptions!DU39*AVERAGE('Balance Sheet'!DT31:DU31)</f>
        <v>-727129.65627085406</v>
      </c>
      <c r="DV29" s="108">
        <f>-Assumptions!DV39*AVERAGE('Balance Sheet'!DU31:DV31)</f>
        <v>-768873.25656720321</v>
      </c>
      <c r="DW29" s="108">
        <f>-Assumptions!DW39*AVERAGE('Balance Sheet'!DV31:DW31)</f>
        <v>-798763.69573528622</v>
      </c>
      <c r="DX29" s="108">
        <f>-Assumptions!DX39*AVERAGE('Balance Sheet'!DW31:DX31)</f>
        <v>-881397.00668230059</v>
      </c>
    </row>
    <row r="30" spans="1:128" s="33" customFormat="1" ht="10.199999999999999">
      <c r="A30" s="114" t="s">
        <v>46</v>
      </c>
      <c r="B30" s="113"/>
      <c r="C30" s="113"/>
      <c r="D30" s="113"/>
      <c r="E30" s="113"/>
      <c r="F30" s="113"/>
      <c r="G30" s="113"/>
      <c r="H30" s="105"/>
      <c r="I30" s="105"/>
      <c r="J30" s="105"/>
      <c r="K30" s="105"/>
      <c r="L30" s="105"/>
      <c r="M30" s="105"/>
      <c r="N30" s="105">
        <f>SUM(BY30:CB30)</f>
        <v>-229464.55207067999</v>
      </c>
      <c r="O30" s="105">
        <f>SUM(CC30:CF30)</f>
        <v>-242049.23312255004</v>
      </c>
      <c r="P30" s="105">
        <f>SUM(CG30:CJ30)</f>
        <v>-266788.97871871997</v>
      </c>
      <c r="Q30" s="104">
        <f>SUM(CK30:CN30)</f>
        <v>-301652.60426648997</v>
      </c>
      <c r="R30" s="104">
        <f>SUM(CO30:CR30)</f>
        <v>-351227.20358946407</v>
      </c>
      <c r="S30" s="104">
        <f>SUM(CS30:CV30)</f>
        <v>-433787</v>
      </c>
      <c r="T30" s="598">
        <f>SUM(CW30:CZ30)</f>
        <v>-529376</v>
      </c>
      <c r="U30" s="103">
        <f>SUM(DA30:DD30)</f>
        <v>-798041.10670602543</v>
      </c>
      <c r="V30" s="103">
        <f>SUM(DE30:DH30)</f>
        <v>-814762.23269698152</v>
      </c>
      <c r="W30" s="103">
        <f>SUM(DI30:DL30)</f>
        <v>-831525.52931859018</v>
      </c>
      <c r="X30" s="103">
        <f>SUM(DM30:DP30)</f>
        <v>-848306.85328416235</v>
      </c>
      <c r="Y30" s="103">
        <f>SUM(DQ30:DT30)</f>
        <v>-865080.03115238808</v>
      </c>
      <c r="Z30" s="103">
        <f>SUM(DU30:DX30)</f>
        <v>-881816.73426718847</v>
      </c>
      <c r="AB30" s="113" t="str">
        <f t="shared" si="0"/>
        <v>Depreciation and amortization</v>
      </c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0">
        <v>-55246.861406999989</v>
      </c>
      <c r="BZ30" s="110">
        <v>-53099.474906110016</v>
      </c>
      <c r="CA30" s="110">
        <v>-63615.153215829967</v>
      </c>
      <c r="CB30" s="110">
        <v>-57503.062541740015</v>
      </c>
      <c r="CC30" s="110">
        <v>-58403.405708039994</v>
      </c>
      <c r="CD30" s="110">
        <v>-59308.651118380018</v>
      </c>
      <c r="CE30" s="110">
        <v>-60163.152535719943</v>
      </c>
      <c r="CF30" s="110">
        <v>-64174.023760410084</v>
      </c>
      <c r="CG30" s="110">
        <v>-64429.845111620001</v>
      </c>
      <c r="CH30" s="110">
        <v>-65126.084852219981</v>
      </c>
      <c r="CI30" s="110">
        <v>-67155.953541759969</v>
      </c>
      <c r="CJ30" s="110">
        <v>-70077.095213120017</v>
      </c>
      <c r="CK30" s="110">
        <v>-75710.244651760004</v>
      </c>
      <c r="CL30" s="110">
        <v>-74684.462232529972</v>
      </c>
      <c r="CM30" s="110">
        <v>-71835.148945010034</v>
      </c>
      <c r="CN30" s="110">
        <v>-79422.748437189963</v>
      </c>
      <c r="CO30" s="110">
        <v>-80142.125375489995</v>
      </c>
      <c r="CP30" s="110">
        <v>-85740.278369539999</v>
      </c>
      <c r="CQ30" s="110">
        <v>-88375.701818502333</v>
      </c>
      <c r="CR30" s="110">
        <v>-96969.098025931744</v>
      </c>
      <c r="CS30" s="110">
        <v>-94789</v>
      </c>
      <c r="CT30" s="110">
        <v>-103939</v>
      </c>
      <c r="CU30" s="110">
        <v>-105443</v>
      </c>
      <c r="CV30" s="110">
        <v>-129616</v>
      </c>
      <c r="CW30" s="110">
        <v>-108393</v>
      </c>
      <c r="CX30" s="110">
        <v>-110699</v>
      </c>
      <c r="CY30" s="110">
        <v>-111966</v>
      </c>
      <c r="CZ30" s="110">
        <v>-198318</v>
      </c>
      <c r="DA30" s="108">
        <f>-Assumptions!DA40*AVERAGE('Balance Sheet'!CZ28:DA28)</f>
        <v>-197945.83047750741</v>
      </c>
      <c r="DB30" s="108">
        <f>-Assumptions!DB40*AVERAGE('Balance Sheet'!DA28:DB28)</f>
        <v>-198988.10783550746</v>
      </c>
      <c r="DC30" s="108">
        <f>-Assumptions!DC40*AVERAGE('Balance Sheet'!DB28:DC28)</f>
        <v>-200031.43615761978</v>
      </c>
      <c r="DD30" s="108">
        <f>-Assumptions!DD40*AVERAGE('Balance Sheet'!DC28:DD28)</f>
        <v>-201075.73223539081</v>
      </c>
      <c r="DE30" s="108">
        <f>-Assumptions!DE40*AVERAGE('Balance Sheet'!DD28:DE28)</f>
        <v>-202120.9110911015</v>
      </c>
      <c r="DF30" s="108">
        <f>-Assumptions!DF40*AVERAGE('Balance Sheet'!DE28:DF28)</f>
        <v>-203166.88595070285</v>
      </c>
      <c r="DG30" s="108">
        <f>-Assumptions!DG40*AVERAGE('Balance Sheet'!DF28:DG28)</f>
        <v>-204213.56821638712</v>
      </c>
      <c r="DH30" s="108">
        <f>-Assumptions!DH40*AVERAGE('Balance Sheet'!DG28:DH28)</f>
        <v>-205260.86743879001</v>
      </c>
      <c r="DI30" s="108">
        <f>-Assumptions!DI40*AVERAGE('Balance Sheet'!DH28:DI28)</f>
        <v>-206308.69128881933</v>
      </c>
      <c r="DJ30" s="108">
        <f>-Assumptions!DJ40*AVERAGE('Balance Sheet'!DI28:DJ28)</f>
        <v>-207356.94552910535</v>
      </c>
      <c r="DK30" s="108">
        <f>-Assumptions!DK40*AVERAGE('Balance Sheet'!DJ28:DK28)</f>
        <v>-208405.53398506818</v>
      </c>
      <c r="DL30" s="108">
        <f>-Assumptions!DL40*AVERAGE('Balance Sheet'!DK28:DL28)</f>
        <v>-209454.35851559736</v>
      </c>
      <c r="DM30" s="108">
        <f>-Assumptions!DM40*AVERAGE('Balance Sheet'!DL28:DM28)</f>
        <v>-210503.31898333866</v>
      </c>
      <c r="DN30" s="108">
        <f>-Assumptions!DN40*AVERAGE('Balance Sheet'!DM28:DN28)</f>
        <v>-211552.31322458317</v>
      </c>
      <c r="DO30" s="108">
        <f>-Assumptions!DO40*AVERAGE('Balance Sheet'!DN28:DO28)</f>
        <v>-212601.23701875424</v>
      </c>
      <c r="DP30" s="108">
        <f>-Assumptions!DP40*AVERAGE('Balance Sheet'!DO28:DP28)</f>
        <v>-213649.98405748632</v>
      </c>
      <c r="DQ30" s="108">
        <f>-Assumptions!DQ40*AVERAGE('Balance Sheet'!DP28:DQ28)</f>
        <v>-214698.4459132911</v>
      </c>
      <c r="DR30" s="108">
        <f>-Assumptions!DR40*AVERAGE('Balance Sheet'!DQ28:DR28)</f>
        <v>-215746.5120078063</v>
      </c>
      <c r="DS30" s="108">
        <f>-Assumptions!DS40*AVERAGE('Balance Sheet'!DR28:DS28)</f>
        <v>-216794.06957962044</v>
      </c>
      <c r="DT30" s="108">
        <f>-Assumptions!DT40*AVERAGE('Balance Sheet'!DS28:DT28)</f>
        <v>-217841.00365167012</v>
      </c>
      <c r="DU30" s="108">
        <f>-Assumptions!DU40*AVERAGE('Balance Sheet'!DT28:DU28)</f>
        <v>-218887.19699820277</v>
      </c>
      <c r="DV30" s="108">
        <f>-Assumptions!DV40*AVERAGE('Balance Sheet'!DU28:DV28)</f>
        <v>-219932.53011130088</v>
      </c>
      <c r="DW30" s="108">
        <f>-Assumptions!DW40*AVERAGE('Balance Sheet'!DV28:DW28)</f>
        <v>-220976.88116696119</v>
      </c>
      <c r="DX30" s="108">
        <f>-Assumptions!DX40*AVERAGE('Balance Sheet'!DW28:DX28)</f>
        <v>-222020.12599072361</v>
      </c>
    </row>
    <row r="31" spans="1:128" s="33" customFormat="1" ht="10.199999999999999">
      <c r="A31" s="114" t="s">
        <v>45</v>
      </c>
      <c r="B31" s="113"/>
      <c r="C31" s="113"/>
      <c r="D31" s="113"/>
      <c r="E31" s="113"/>
      <c r="F31" s="113"/>
      <c r="G31" s="113"/>
      <c r="H31" s="105"/>
      <c r="I31" s="105"/>
      <c r="J31" s="105"/>
      <c r="K31" s="105"/>
      <c r="L31" s="105"/>
      <c r="M31" s="105"/>
      <c r="N31" s="105">
        <f>SUM(BY31:CB31)</f>
        <v>-367180.60307918995</v>
      </c>
      <c r="O31" s="105">
        <f>SUM(CC31:CF31)</f>
        <v>-311579.14461763005</v>
      </c>
      <c r="P31" s="105">
        <f>SUM(CG31:CJ31)</f>
        <v>-127537.01929776001</v>
      </c>
      <c r="Q31" s="104">
        <f>SUM(CK31:CN31)</f>
        <v>-115921.02895385001</v>
      </c>
      <c r="R31" s="104">
        <f>SUM(CO31:CR31)</f>
        <v>-223819.95043948613</v>
      </c>
      <c r="S31" s="104">
        <f>SUM(CS31:CV31)</f>
        <v>-307794</v>
      </c>
      <c r="T31" s="598">
        <f>SUM(CW31:CZ31)</f>
        <v>-149382</v>
      </c>
      <c r="U31" s="103">
        <f>SUM(DA31:DD31)</f>
        <v>-118372.5449305869</v>
      </c>
      <c r="V31" s="103">
        <f>SUM(DE31:DH31)</f>
        <v>-129167.94708387107</v>
      </c>
      <c r="W31" s="103">
        <f>SUM(DI31:DL31)</f>
        <v>-140759.61775400135</v>
      </c>
      <c r="X31" s="103">
        <f>SUM(DM31:DP31)</f>
        <v>-153390.49602744472</v>
      </c>
      <c r="Y31" s="103">
        <f>SUM(DQ31:DT31)</f>
        <v>-167657.09212745473</v>
      </c>
      <c r="Z31" s="103">
        <f>SUM(DU31:DX31)</f>
        <v>-184274.89089709567</v>
      </c>
      <c r="AB31" s="113" t="str">
        <f t="shared" si="0"/>
        <v>Other</v>
      </c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09">
        <v>-111985.42288135999</v>
      </c>
      <c r="BZ31" s="109">
        <v>-60025.26692831004</v>
      </c>
      <c r="CA31" s="109">
        <v>-83253.310368939943</v>
      </c>
      <c r="CB31" s="109">
        <v>-111916.60290057998</v>
      </c>
      <c r="CC31" s="109">
        <v>-68340.734957550012</v>
      </c>
      <c r="CD31" s="109">
        <v>-70564.259444380004</v>
      </c>
      <c r="CE31" s="109">
        <v>-70336.600842699991</v>
      </c>
      <c r="CF31" s="109">
        <v>-102337.54937300005</v>
      </c>
      <c r="CG31" s="109">
        <v>-44857.937868630004</v>
      </c>
      <c r="CH31" s="109">
        <v>-33359.760052429992</v>
      </c>
      <c r="CI31" s="109">
        <v>-22890.152914020029</v>
      </c>
      <c r="CJ31" s="109">
        <v>-26429.168462679983</v>
      </c>
      <c r="CK31" s="109">
        <v>-32470.88313799</v>
      </c>
      <c r="CL31" s="109">
        <v>-29271.132596520009</v>
      </c>
      <c r="CM31" s="109">
        <v>-13398.946050259976</v>
      </c>
      <c r="CN31" s="109">
        <v>-40780.067169080023</v>
      </c>
      <c r="CO31" s="109">
        <v>-36029.088122799993</v>
      </c>
      <c r="CP31" s="109">
        <v>-44081.236466700007</v>
      </c>
      <c r="CQ31" s="109">
        <v>-15187.802136697734</v>
      </c>
      <c r="CR31" s="109">
        <v>-128521.8237132884</v>
      </c>
      <c r="CS31" s="109">
        <v>-34728</v>
      </c>
      <c r="CT31" s="109">
        <v>-40472</v>
      </c>
      <c r="CU31" s="109">
        <f>-84368+1</f>
        <v>-84367</v>
      </c>
      <c r="CV31" s="109">
        <f>-148227</f>
        <v>-148227</v>
      </c>
      <c r="CW31" s="109">
        <f>-41115+146818+(-146818)-1</f>
        <v>-41116</v>
      </c>
      <c r="CX31" s="110">
        <f>-55280-2</f>
        <v>-55282</v>
      </c>
      <c r="CY31" s="110">
        <v>-25688</v>
      </c>
      <c r="CZ31" s="110">
        <f>-32414+7609-2491</f>
        <v>-27296</v>
      </c>
      <c r="DA31" s="108">
        <f>-Assumptions!DA41*AVERAGE('Balance Sheet'!CZ31:DA31)</f>
        <v>-28498.544271797022</v>
      </c>
      <c r="DB31" s="108">
        <f>-Assumptions!DB41*AVERAGE('Balance Sheet'!DA31:DB31)</f>
        <v>-29365.373809239976</v>
      </c>
      <c r="DC31" s="108">
        <f>-Assumptions!DC41*AVERAGE('Balance Sheet'!DB31:DC31)</f>
        <v>-29936.676882312451</v>
      </c>
      <c r="DD31" s="108">
        <f>-Assumptions!DD41*AVERAGE('Balance Sheet'!DC31:DD31)</f>
        <v>-30571.949967237437</v>
      </c>
      <c r="DE31" s="108">
        <f>-Assumptions!DE41*AVERAGE('Balance Sheet'!DD31:DE31)</f>
        <v>-31215.010185100527</v>
      </c>
      <c r="DF31" s="108">
        <f>-Assumptions!DF41*AVERAGE('Balance Sheet'!DE31:DF31)</f>
        <v>-31929.109291047534</v>
      </c>
      <c r="DG31" s="108">
        <f>-Assumptions!DG41*AVERAGE('Balance Sheet'!DF31:DG31)</f>
        <v>-32651.217587381907</v>
      </c>
      <c r="DH31" s="108">
        <f>-Assumptions!DH41*AVERAGE('Balance Sheet'!DG31:DH31)</f>
        <v>-33372.610020341104</v>
      </c>
      <c r="DI31" s="108">
        <f>-Assumptions!DI41*AVERAGE('Balance Sheet'!DH31:DI31)</f>
        <v>-34060.458550248812</v>
      </c>
      <c r="DJ31" s="108">
        <f>-Assumptions!DJ41*AVERAGE('Balance Sheet'!DI31:DJ31)</f>
        <v>-34806.615480618348</v>
      </c>
      <c r="DK31" s="108">
        <f>-Assumptions!DK41*AVERAGE('Balance Sheet'!DJ31:DK31)</f>
        <v>-35563.257220608728</v>
      </c>
      <c r="DL31" s="108">
        <f>-Assumptions!DL41*AVERAGE('Balance Sheet'!DK31:DL31)</f>
        <v>-36329.28650252545</v>
      </c>
      <c r="DM31" s="108">
        <f>-Assumptions!DM41*AVERAGE('Balance Sheet'!DL31:DM31)</f>
        <v>-37084.085765070849</v>
      </c>
      <c r="DN31" s="108">
        <f>-Assumptions!DN41*AVERAGE('Balance Sheet'!DM31:DN31)</f>
        <v>-37919.551372333466</v>
      </c>
      <c r="DO31" s="108">
        <f>-Assumptions!DO41*AVERAGE('Balance Sheet'!DN31:DO31)</f>
        <v>-38762.190276103618</v>
      </c>
      <c r="DP31" s="108">
        <f>-Assumptions!DP41*AVERAGE('Balance Sheet'!DO31:DP31)</f>
        <v>-39624.668613936788</v>
      </c>
      <c r="DQ31" s="108">
        <f>-Assumptions!DQ41*AVERAGE('Balance Sheet'!DP31:DQ31)</f>
        <v>-40473.157069048386</v>
      </c>
      <c r="DR31" s="108">
        <f>-Assumptions!DR41*AVERAGE('Balance Sheet'!DQ31:DR31)</f>
        <v>-41421.435008567503</v>
      </c>
      <c r="DS31" s="108">
        <f>-Assumptions!DS41*AVERAGE('Balance Sheet'!DR31:DS31)</f>
        <v>-42365.473799909319</v>
      </c>
      <c r="DT31" s="108">
        <f>-Assumptions!DT41*AVERAGE('Balance Sheet'!DS31:DT31)</f>
        <v>-43397.02624992952</v>
      </c>
      <c r="DU31" s="108">
        <f>-Assumptions!DU41*AVERAGE('Balance Sheet'!DT31:DU31)</f>
        <v>-44387.791151777303</v>
      </c>
      <c r="DV31" s="108">
        <f>-Assumptions!DV41*AVERAGE('Balance Sheet'!DU31:DV31)</f>
        <v>-45494.688455871292</v>
      </c>
      <c r="DW31" s="108">
        <f>-Assumptions!DW41*AVERAGE('Balance Sheet'!DV31:DW31)</f>
        <v>-46598.655892803909</v>
      </c>
      <c r="DX31" s="108">
        <f>-Assumptions!DX41*AVERAGE('Balance Sheet'!DW31:DX31)</f>
        <v>-47793.755396643159</v>
      </c>
    </row>
    <row r="32" spans="1:128" s="106" customFormat="1" ht="10.199999999999999">
      <c r="A32" s="112" t="s">
        <v>44</v>
      </c>
      <c r="B32" s="111"/>
      <c r="C32" s="111"/>
      <c r="D32" s="111"/>
      <c r="E32" s="111"/>
      <c r="F32" s="111"/>
      <c r="G32" s="111"/>
      <c r="H32" s="101"/>
      <c r="I32" s="101"/>
      <c r="J32" s="101"/>
      <c r="K32" s="101"/>
      <c r="L32" s="101"/>
      <c r="M32" s="101"/>
      <c r="N32" s="101">
        <f t="shared" ref="N32:X32" si="41">SUM(N28:N31)</f>
        <v>-2711103.2654051301</v>
      </c>
      <c r="O32" s="101">
        <f t="shared" si="41"/>
        <v>-2835371.6822151602</v>
      </c>
      <c r="P32" s="101">
        <f t="shared" si="41"/>
        <v>-3076535.3256966402</v>
      </c>
      <c r="Q32" s="100">
        <f t="shared" si="41"/>
        <v>-3822744.4860642701</v>
      </c>
      <c r="R32" s="100">
        <f t="shared" si="41"/>
        <v>-4537271.8558374522</v>
      </c>
      <c r="S32" s="100">
        <f t="shared" si="41"/>
        <v>-5331187</v>
      </c>
      <c r="T32" s="117">
        <f t="shared" si="41"/>
        <v>-5491340</v>
      </c>
      <c r="U32" s="99">
        <f t="shared" si="41"/>
        <v>-6025989.1907768697</v>
      </c>
      <c r="V32" s="99">
        <f t="shared" si="41"/>
        <v>-6384264.8555642199</v>
      </c>
      <c r="W32" s="99">
        <f t="shared" si="41"/>
        <v>-6818364.5664125141</v>
      </c>
      <c r="X32" s="99">
        <f t="shared" si="41"/>
        <v>-7318348.4453144614</v>
      </c>
      <c r="Y32" s="99">
        <f t="shared" ref="Y32:Z32" si="42">SUM(Y28:Y31)</f>
        <v>-7860392.8217432918</v>
      </c>
      <c r="Z32" s="99">
        <f t="shared" si="42"/>
        <v>-8448872.2043692227</v>
      </c>
      <c r="AB32" s="111" t="str">
        <f t="shared" si="0"/>
        <v>Total operating expenses</v>
      </c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01">
        <f t="shared" ref="BY32:CQ32" si="43">SUM(BY28:BY31)</f>
        <v>-706638.06170589011</v>
      </c>
      <c r="BZ32" s="101">
        <f t="shared" si="43"/>
        <v>-617288.52170259017</v>
      </c>
      <c r="CA32" s="101">
        <f t="shared" si="43"/>
        <v>-635287.96652680985</v>
      </c>
      <c r="CB32" s="101">
        <f t="shared" si="43"/>
        <v>-751888.71546983998</v>
      </c>
      <c r="CC32" s="101">
        <f t="shared" si="43"/>
        <v>-676901.61444359994</v>
      </c>
      <c r="CD32" s="101">
        <f t="shared" si="43"/>
        <v>-668188.19677314023</v>
      </c>
      <c r="CE32" s="101">
        <f t="shared" si="43"/>
        <v>-681668.03758088988</v>
      </c>
      <c r="CF32" s="101">
        <f t="shared" si="43"/>
        <v>-808613.83341753006</v>
      </c>
      <c r="CG32" s="101">
        <f t="shared" si="43"/>
        <v>-734171.90468181006</v>
      </c>
      <c r="CH32" s="101">
        <f t="shared" si="43"/>
        <v>-752209.27983216022</v>
      </c>
      <c r="CI32" s="101">
        <f t="shared" si="43"/>
        <v>-768535.08252242988</v>
      </c>
      <c r="CJ32" s="101">
        <f t="shared" si="43"/>
        <v>-821619.05866024003</v>
      </c>
      <c r="CK32" s="101">
        <f t="shared" si="43"/>
        <v>-831535.39504881017</v>
      </c>
      <c r="CL32" s="101">
        <f t="shared" si="43"/>
        <v>-902631.98195277958</v>
      </c>
      <c r="CM32" s="101">
        <f t="shared" si="43"/>
        <v>-960802.07951328007</v>
      </c>
      <c r="CN32" s="101">
        <f t="shared" si="43"/>
        <v>-1127775.0295494008</v>
      </c>
      <c r="CO32" s="101">
        <f t="shared" si="43"/>
        <v>-1041119.6329243898</v>
      </c>
      <c r="CP32" s="101">
        <f t="shared" si="43"/>
        <v>-1133701.5049427</v>
      </c>
      <c r="CQ32" s="101">
        <f t="shared" si="43"/>
        <v>-1100644.9806304155</v>
      </c>
      <c r="CR32" s="101">
        <f t="shared" ref="CR32" si="44">SUM(CR28:CR31)</f>
        <v>-1261805.7373399469</v>
      </c>
      <c r="CS32" s="101">
        <f>SUM(CS28:CS31)</f>
        <v>-1128211</v>
      </c>
      <c r="CT32" s="101">
        <f t="shared" ref="CT32:DP32" si="45">SUM(CT28:CT31)</f>
        <v>-1328766</v>
      </c>
      <c r="CU32" s="101">
        <f t="shared" ref="CU32:CV32" si="46">SUM(CU28:CU31)</f>
        <v>-1349566</v>
      </c>
      <c r="CV32" s="101">
        <f t="shared" si="46"/>
        <v>-1524644</v>
      </c>
      <c r="CW32" s="101">
        <f t="shared" ref="CW32:CX32" si="47">SUM(CW28:CW31)</f>
        <v>-1295871</v>
      </c>
      <c r="CX32" s="117">
        <f t="shared" si="47"/>
        <v>-1366180</v>
      </c>
      <c r="CY32" s="117">
        <f>SUM(CY28:CY31)</f>
        <v>-1337802</v>
      </c>
      <c r="CZ32" s="117">
        <f>SUM(CZ28:CZ31)</f>
        <v>-1491487</v>
      </c>
      <c r="DA32" s="99">
        <f t="shared" si="45"/>
        <v>-1461447.858358565</v>
      </c>
      <c r="DB32" s="99">
        <f t="shared" si="45"/>
        <v>-1489353.8156910324</v>
      </c>
      <c r="DC32" s="99">
        <f t="shared" si="45"/>
        <v>-1504755.1154229837</v>
      </c>
      <c r="DD32" s="99">
        <f t="shared" si="45"/>
        <v>-1570432.401304289</v>
      </c>
      <c r="DE32" s="99">
        <f t="shared" si="45"/>
        <v>-1537959.8850246626</v>
      </c>
      <c r="DF32" s="99">
        <f t="shared" si="45"/>
        <v>-1573454.5371925752</v>
      </c>
      <c r="DG32" s="99">
        <f t="shared" si="45"/>
        <v>-1601575.0749950488</v>
      </c>
      <c r="DH32" s="99">
        <f t="shared" si="45"/>
        <v>-1671275.3583519335</v>
      </c>
      <c r="DI32" s="99">
        <f t="shared" si="45"/>
        <v>-1634546.1598869816</v>
      </c>
      <c r="DJ32" s="99">
        <f t="shared" si="45"/>
        <v>-1677722.8880272694</v>
      </c>
      <c r="DK32" s="99">
        <f t="shared" si="45"/>
        <v>-1713987.0015845594</v>
      </c>
      <c r="DL32" s="99">
        <f t="shared" si="45"/>
        <v>-1792108.5169137027</v>
      </c>
      <c r="DM32" s="99">
        <f t="shared" si="45"/>
        <v>-1753030.8487445866</v>
      </c>
      <c r="DN32" s="99">
        <f t="shared" si="45"/>
        <v>-1800235.7363413291</v>
      </c>
      <c r="DO32" s="99">
        <f t="shared" si="45"/>
        <v>-1839711.9498058076</v>
      </c>
      <c r="DP32" s="99">
        <f t="shared" si="45"/>
        <v>-1925369.9104227377</v>
      </c>
      <c r="DQ32" s="99">
        <f t="shared" ref="DQ32:DT32" si="48">SUM(DQ28:DQ31)</f>
        <v>-1881362.0532253336</v>
      </c>
      <c r="DR32" s="99">
        <f t="shared" si="48"/>
        <v>-1933005.9785065902</v>
      </c>
      <c r="DS32" s="99">
        <f t="shared" si="48"/>
        <v>-1976005.9502665352</v>
      </c>
      <c r="DT32" s="99">
        <f t="shared" si="48"/>
        <v>-2070018.8397448333</v>
      </c>
      <c r="DU32" s="99">
        <f t="shared" ref="DU32:DX32" si="49">SUM(DU28:DU31)</f>
        <v>-2020551.37748753</v>
      </c>
      <c r="DV32" s="99">
        <f t="shared" si="49"/>
        <v>-2077106.8263715082</v>
      </c>
      <c r="DW32" s="99">
        <f t="shared" si="49"/>
        <v>-2124014.6721073836</v>
      </c>
      <c r="DX32" s="99">
        <f t="shared" si="49"/>
        <v>-2227199.3284028019</v>
      </c>
    </row>
    <row r="33" spans="1:128" s="106" customFormat="1" ht="10.199999999999999">
      <c r="A33" s="107" t="s">
        <v>43</v>
      </c>
      <c r="B33" s="107"/>
      <c r="C33" s="107"/>
      <c r="D33" s="107"/>
      <c r="E33" s="107"/>
      <c r="F33" s="107"/>
      <c r="G33" s="107"/>
      <c r="H33" s="101"/>
      <c r="I33" s="101"/>
      <c r="J33" s="101"/>
      <c r="K33" s="101"/>
      <c r="L33" s="101"/>
      <c r="M33" s="101"/>
      <c r="N33" s="101">
        <f t="shared" ref="N33:X33" si="50">N15+N21+N26+N32</f>
        <v>1952298.7274611755</v>
      </c>
      <c r="O33" s="101">
        <f t="shared" si="50"/>
        <v>2243431.8020600691</v>
      </c>
      <c r="P33" s="101">
        <f t="shared" si="50"/>
        <v>2477123.4457822773</v>
      </c>
      <c r="Q33" s="100">
        <f t="shared" si="50"/>
        <v>2599331.7482666867</v>
      </c>
      <c r="R33" s="100">
        <f t="shared" si="50"/>
        <v>2619243.033070188</v>
      </c>
      <c r="S33" s="100">
        <f t="shared" si="50"/>
        <v>3381850</v>
      </c>
      <c r="T33" s="117">
        <f t="shared" si="50"/>
        <v>4298795.944444444</v>
      </c>
      <c r="U33" s="99">
        <f t="shared" ca="1" si="50"/>
        <v>4924838.6718348488</v>
      </c>
      <c r="V33" s="99">
        <f t="shared" ca="1" si="50"/>
        <v>5705036.6905064397</v>
      </c>
      <c r="W33" s="99">
        <f t="shared" ca="1" si="50"/>
        <v>6682602.4716737512</v>
      </c>
      <c r="X33" s="99">
        <f t="shared" ca="1" si="50"/>
        <v>7687447.0712780505</v>
      </c>
      <c r="Y33" s="99">
        <f t="shared" ref="Y33:Z33" ca="1" si="51">Y15+Y21+Y26+Y32</f>
        <v>8922980.7443663701</v>
      </c>
      <c r="Z33" s="99">
        <f t="shared" ca="1" si="51"/>
        <v>10367995.998710399</v>
      </c>
      <c r="AB33" s="107" t="str">
        <f t="shared" si="0"/>
        <v>Total operating income</v>
      </c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1">
        <f t="shared" ref="BY33:CQ33" si="52">BY15+BY21+BY26+BY32</f>
        <v>513054.71178682987</v>
      </c>
      <c r="BZ33" s="101">
        <f t="shared" si="52"/>
        <v>516423.9302793697</v>
      </c>
      <c r="CA33" s="101">
        <f t="shared" si="52"/>
        <v>480367.9649213145</v>
      </c>
      <c r="CB33" s="101">
        <f t="shared" si="52"/>
        <v>442452.12047366216</v>
      </c>
      <c r="CC33" s="101">
        <f t="shared" si="52"/>
        <v>469940.92388760019</v>
      </c>
      <c r="CD33" s="101">
        <f t="shared" si="52"/>
        <v>665513.43873129925</v>
      </c>
      <c r="CE33" s="101">
        <f t="shared" si="52"/>
        <v>599833.22409015032</v>
      </c>
      <c r="CF33" s="101">
        <f t="shared" si="52"/>
        <v>508144.21535102034</v>
      </c>
      <c r="CG33" s="101">
        <f t="shared" si="52"/>
        <v>663644.56561939942</v>
      </c>
      <c r="CH33" s="101">
        <f t="shared" si="52"/>
        <v>579524.27059943916</v>
      </c>
      <c r="CI33" s="101">
        <f t="shared" si="52"/>
        <v>659912.7143687323</v>
      </c>
      <c r="CJ33" s="101">
        <f t="shared" si="52"/>
        <v>574041.89519470779</v>
      </c>
      <c r="CK33" s="101">
        <f t="shared" si="52"/>
        <v>641985.34255261975</v>
      </c>
      <c r="CL33" s="101">
        <f t="shared" si="52"/>
        <v>634751.21385043149</v>
      </c>
      <c r="CM33" s="101">
        <f t="shared" si="52"/>
        <v>709385.45538799989</v>
      </c>
      <c r="CN33" s="101">
        <f t="shared" si="52"/>
        <v>613209.73647563392</v>
      </c>
      <c r="CO33" s="101">
        <f t="shared" si="52"/>
        <v>714414.86979788984</v>
      </c>
      <c r="CP33" s="101">
        <f t="shared" si="52"/>
        <v>553215.86056416435</v>
      </c>
      <c r="CQ33" s="101">
        <f t="shared" si="52"/>
        <v>730762.18412845652</v>
      </c>
      <c r="CR33" s="101">
        <f t="shared" ref="CR33" si="53">CR15+CR21+CR26+CR32</f>
        <v>620850.11857967847</v>
      </c>
      <c r="CS33" s="101">
        <f t="shared" ref="CS33:DP33" si="54">CS15+CS21+CS26+CS32</f>
        <v>833996</v>
      </c>
      <c r="CT33" s="101">
        <f t="shared" si="54"/>
        <v>804041</v>
      </c>
      <c r="CU33" s="101">
        <f t="shared" ref="CU33:CV33" si="55">CU15+CU21+CU26+CU32</f>
        <v>931137</v>
      </c>
      <c r="CV33" s="101">
        <f t="shared" si="55"/>
        <v>812676</v>
      </c>
      <c r="CW33" s="101">
        <f t="shared" ref="CW33:CX33" si="56">CW15+CW21+CW26+CW32</f>
        <v>1141036</v>
      </c>
      <c r="CX33" s="117">
        <f t="shared" si="56"/>
        <v>1049336</v>
      </c>
      <c r="CY33" s="117">
        <f>CY15+CY21+CY26+CY32</f>
        <v>1044098.9444444445</v>
      </c>
      <c r="CZ33" s="117">
        <f>CZ15+CZ21+CZ26+CZ32</f>
        <v>1064325</v>
      </c>
      <c r="DA33" s="99">
        <f t="shared" ca="1" si="54"/>
        <v>1165010.122313366</v>
      </c>
      <c r="DB33" s="99">
        <f t="shared" ca="1" si="54"/>
        <v>1196260.149967053</v>
      </c>
      <c r="DC33" s="99">
        <f t="shared" ca="1" si="54"/>
        <v>1267933.3296941211</v>
      </c>
      <c r="DD33" s="99">
        <f t="shared" ca="1" si="54"/>
        <v>1295635.0698603091</v>
      </c>
      <c r="DE33" s="99">
        <f t="shared" ca="1" si="54"/>
        <v>1372223.7756899693</v>
      </c>
      <c r="DF33" s="99">
        <f t="shared" ca="1" si="54"/>
        <v>1415942.6149029373</v>
      </c>
      <c r="DG33" s="99">
        <f t="shared" ca="1" si="54"/>
        <v>1446121.6731132045</v>
      </c>
      <c r="DH33" s="99">
        <f t="shared" ca="1" si="54"/>
        <v>1470748.6268003264</v>
      </c>
      <c r="DI33" s="99">
        <f t="shared" ca="1" si="54"/>
        <v>1567029.084936097</v>
      </c>
      <c r="DJ33" s="99">
        <f t="shared" ca="1" si="54"/>
        <v>1648981.8210078245</v>
      </c>
      <c r="DK33" s="99">
        <f t="shared" ca="1" si="54"/>
        <v>1708915.1389153225</v>
      </c>
      <c r="DL33" s="99">
        <f t="shared" ca="1" si="54"/>
        <v>1757676.4268145063</v>
      </c>
      <c r="DM33" s="99">
        <f t="shared" ca="1" si="54"/>
        <v>1864635.0792191247</v>
      </c>
      <c r="DN33" s="99">
        <f t="shared" ca="1" si="54"/>
        <v>1904747.0916901387</v>
      </c>
      <c r="DO33" s="99">
        <f t="shared" ca="1" si="54"/>
        <v>1948215.8823541615</v>
      </c>
      <c r="DP33" s="99">
        <f t="shared" ca="1" si="54"/>
        <v>1969849.0180146252</v>
      </c>
      <c r="DQ33" s="99">
        <f t="shared" ref="DQ33:DT33" ca="1" si="57">DQ15+DQ21+DQ26+DQ32</f>
        <v>2128020.2211048845</v>
      </c>
      <c r="DR33" s="99">
        <f t="shared" ca="1" si="57"/>
        <v>2209786.7493862323</v>
      </c>
      <c r="DS33" s="99">
        <f t="shared" ca="1" si="57"/>
        <v>2278312.0720381364</v>
      </c>
      <c r="DT33" s="99">
        <f t="shared" ca="1" si="57"/>
        <v>2306861.7018371113</v>
      </c>
      <c r="DU33" s="99">
        <f t="shared" ref="DU33:DX33" ca="1" si="58">DU15+DU21+DU26+DU32</f>
        <v>2481746.5007584728</v>
      </c>
      <c r="DV33" s="99">
        <f t="shared" ca="1" si="58"/>
        <v>2571619.9222953697</v>
      </c>
      <c r="DW33" s="99">
        <f t="shared" ca="1" si="58"/>
        <v>2637529.8056056621</v>
      </c>
      <c r="DX33" s="99">
        <f t="shared" ca="1" si="58"/>
        <v>2677099.7700508959</v>
      </c>
    </row>
    <row r="34" spans="1:128" s="33" customFormat="1" ht="10.199999999999999">
      <c r="A34" s="102" t="s">
        <v>42</v>
      </c>
      <c r="B34" s="102"/>
      <c r="C34" s="102"/>
      <c r="D34" s="102"/>
      <c r="E34" s="102"/>
      <c r="F34" s="102"/>
      <c r="G34" s="102"/>
      <c r="H34" s="105"/>
      <c r="I34" s="105"/>
      <c r="J34" s="105"/>
      <c r="K34" s="105"/>
      <c r="L34" s="105"/>
      <c r="M34" s="105"/>
      <c r="N34" s="105">
        <f>SUM(BY34:CB34)</f>
        <v>34250.178983099984</v>
      </c>
      <c r="O34" s="105">
        <f>SUM(CC34:CF34)</f>
        <v>67887.119022350016</v>
      </c>
      <c r="P34" s="105">
        <f>SUM(CG34:CJ34)</f>
        <v>102128.31630015999</v>
      </c>
      <c r="Q34" s="104">
        <f>SUM(CK34:CN34)</f>
        <v>193965.06542745</v>
      </c>
      <c r="R34" s="104">
        <f>SUM(CO34:CR34)</f>
        <v>-284072.05975156149</v>
      </c>
      <c r="S34" s="104">
        <f>SUM(CS34:CV34)</f>
        <v>431</v>
      </c>
      <c r="T34" s="598">
        <f>SUM(CW34:CZ34)</f>
        <v>18340</v>
      </c>
      <c r="U34" s="103">
        <f ca="1">SUM(DA34:DD34)</f>
        <v>0</v>
      </c>
      <c r="V34" s="103">
        <f ca="1">SUM(DE34:DH34)</f>
        <v>0</v>
      </c>
      <c r="W34" s="103">
        <f ca="1">SUM(DI34:DL34)</f>
        <v>0</v>
      </c>
      <c r="X34" s="103">
        <f ca="1">SUM(DM34:DP34)</f>
        <v>0</v>
      </c>
      <c r="Y34" s="103">
        <f ca="1">SUM(DQ34:DT34)</f>
        <v>0</v>
      </c>
      <c r="Z34" s="103">
        <f ca="1">SUM(DU34:DX34)</f>
        <v>0</v>
      </c>
      <c r="AB34" s="102" t="str">
        <f t="shared" si="0"/>
        <v>Translation result</v>
      </c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9">
        <v>-15252.960014419998</v>
      </c>
      <c r="BZ34" s="109">
        <v>11846.793964439992</v>
      </c>
      <c r="CA34" s="109">
        <v>34657.10176564</v>
      </c>
      <c r="CB34" s="109">
        <v>2999.2432674399897</v>
      </c>
      <c r="CC34" s="109">
        <v>34377.446525159983</v>
      </c>
      <c r="CD34" s="109">
        <v>13183.01713342002</v>
      </c>
      <c r="CE34" s="109">
        <v>40468.07224111</v>
      </c>
      <c r="CF34" s="109">
        <v>-20141.416877339987</v>
      </c>
      <c r="CG34" s="109">
        <v>2422.5576725599967</v>
      </c>
      <c r="CH34" s="109">
        <v>34545.420654829999</v>
      </c>
      <c r="CI34" s="109">
        <v>-20426.346314880011</v>
      </c>
      <c r="CJ34" s="109">
        <v>85586.684287650001</v>
      </c>
      <c r="CK34" s="109">
        <v>35280.703454610004</v>
      </c>
      <c r="CL34" s="109">
        <v>-6041.9733074500182</v>
      </c>
      <c r="CM34" s="109">
        <v>86671.320687720028</v>
      </c>
      <c r="CN34" s="109">
        <v>78055.014592569991</v>
      </c>
      <c r="CO34" s="109">
        <v>-48110.921166890002</v>
      </c>
      <c r="CP34" s="109">
        <v>-213021.30148413999</v>
      </c>
      <c r="CQ34" s="109">
        <v>-9375.4054266142775</v>
      </c>
      <c r="CR34" s="109">
        <v>-13564.431673917221</v>
      </c>
      <c r="CS34" s="109">
        <v>-1002</v>
      </c>
      <c r="CT34" s="109">
        <v>581</v>
      </c>
      <c r="CU34" s="109">
        <v>2603</v>
      </c>
      <c r="CV34" s="109">
        <v>-1751</v>
      </c>
      <c r="CW34" s="109">
        <v>1566</v>
      </c>
      <c r="CX34" s="110">
        <v>9324</v>
      </c>
      <c r="CY34" s="110">
        <v>2940</v>
      </c>
      <c r="CZ34" s="110">
        <f>32733-28223</f>
        <v>4510</v>
      </c>
      <c r="DA34" s="108">
        <f>Assumptions!DA44*'Balance Sheet'!CZ58</f>
        <v>0</v>
      </c>
      <c r="DB34" s="108">
        <f ca="1">Assumptions!DB44*'Balance Sheet'!DA58</f>
        <v>0</v>
      </c>
      <c r="DC34" s="108">
        <f ca="1">Assumptions!DC44*'Balance Sheet'!DB58</f>
        <v>0</v>
      </c>
      <c r="DD34" s="108">
        <f ca="1">Assumptions!DD44*'Balance Sheet'!DC58</f>
        <v>0</v>
      </c>
      <c r="DE34" s="108">
        <f ca="1">Assumptions!DE44*'Balance Sheet'!DD58</f>
        <v>0</v>
      </c>
      <c r="DF34" s="108">
        <f ca="1">Assumptions!DF44*'Balance Sheet'!DE58</f>
        <v>0</v>
      </c>
      <c r="DG34" s="108">
        <f ca="1">Assumptions!DG44*'Balance Sheet'!DF58</f>
        <v>0</v>
      </c>
      <c r="DH34" s="108">
        <f ca="1">Assumptions!DH44*'Balance Sheet'!DG58</f>
        <v>0</v>
      </c>
      <c r="DI34" s="108">
        <f ca="1">Assumptions!DI44*'Balance Sheet'!DH58</f>
        <v>0</v>
      </c>
      <c r="DJ34" s="108">
        <f ca="1">Assumptions!DJ44*'Balance Sheet'!DI58</f>
        <v>0</v>
      </c>
      <c r="DK34" s="108">
        <f ca="1">Assumptions!DK44*'Balance Sheet'!DJ58</f>
        <v>0</v>
      </c>
      <c r="DL34" s="108">
        <f ca="1">Assumptions!DL44*'Balance Sheet'!DK58</f>
        <v>0</v>
      </c>
      <c r="DM34" s="108">
        <f ca="1">Assumptions!DM44*'Balance Sheet'!DL58</f>
        <v>0</v>
      </c>
      <c r="DN34" s="108">
        <f ca="1">Assumptions!DN44*'Balance Sheet'!DM58</f>
        <v>0</v>
      </c>
      <c r="DO34" s="108">
        <f ca="1">Assumptions!DO44*'Balance Sheet'!DN58</f>
        <v>0</v>
      </c>
      <c r="DP34" s="108">
        <f ca="1">Assumptions!DP44*'Balance Sheet'!DO58</f>
        <v>0</v>
      </c>
      <c r="DQ34" s="108">
        <f ca="1">Assumptions!DQ44*'Balance Sheet'!DP58</f>
        <v>0</v>
      </c>
      <c r="DR34" s="108">
        <f ca="1">Assumptions!DR44*'Balance Sheet'!DQ58</f>
        <v>0</v>
      </c>
      <c r="DS34" s="108">
        <f ca="1">Assumptions!DS44*'Balance Sheet'!DR58</f>
        <v>0</v>
      </c>
      <c r="DT34" s="108">
        <f ca="1">Assumptions!DT44*'Balance Sheet'!DS58</f>
        <v>0</v>
      </c>
      <c r="DU34" s="108">
        <f ca="1">Assumptions!DU44*'Balance Sheet'!DT58</f>
        <v>0</v>
      </c>
      <c r="DV34" s="108">
        <f ca="1">Assumptions!DV44*'Balance Sheet'!DU58</f>
        <v>0</v>
      </c>
      <c r="DW34" s="108">
        <f ca="1">Assumptions!DW44*'Balance Sheet'!DV58</f>
        <v>0</v>
      </c>
      <c r="DX34" s="108">
        <f ca="1">Assumptions!DX44*'Balance Sheet'!DW58</f>
        <v>0</v>
      </c>
    </row>
    <row r="35" spans="1:128" s="33" customFormat="1" ht="10.199999999999999">
      <c r="A35" s="102" t="s">
        <v>41</v>
      </c>
      <c r="B35" s="102"/>
      <c r="C35" s="102"/>
      <c r="D35" s="102"/>
      <c r="E35" s="102"/>
      <c r="F35" s="102"/>
      <c r="G35" s="102"/>
      <c r="H35" s="105"/>
      <c r="I35" s="105"/>
      <c r="J35" s="105"/>
      <c r="K35" s="105"/>
      <c r="L35" s="105"/>
      <c r="M35" s="105"/>
      <c r="N35" s="105">
        <f>SUM(BY35:CB35)</f>
        <v>-55682.789110189988</v>
      </c>
      <c r="O35" s="105">
        <f>SUM(CC35:CF35)</f>
        <v>-78630.836328079982</v>
      </c>
      <c r="P35" s="105">
        <f>SUM(CG35:CJ35)</f>
        <v>0</v>
      </c>
      <c r="Q35" s="104">
        <f>SUM(CK35:CN35)</f>
        <v>0</v>
      </c>
      <c r="R35" s="104">
        <f>SUM(CO35:CR35)</f>
        <v>0</v>
      </c>
      <c r="S35" s="104">
        <f>SUM(CS35:CV35)</f>
        <v>0</v>
      </c>
      <c r="T35" s="598">
        <f>SUM(CW35:CZ35)</f>
        <v>0</v>
      </c>
      <c r="U35" s="103">
        <f>SUM(DA35:DD35)</f>
        <v>0</v>
      </c>
      <c r="V35" s="103">
        <f>SUM(DE35:DH35)</f>
        <v>0</v>
      </c>
      <c r="W35" s="103">
        <f>SUM(DI35:DL35)</f>
        <v>0</v>
      </c>
      <c r="X35" s="103">
        <f>SUM(DM35:DP35)</f>
        <v>0</v>
      </c>
      <c r="Y35" s="103">
        <f>SUM(DQ35:DT35)</f>
        <v>0</v>
      </c>
      <c r="Z35" s="103">
        <f>SUM(DU35:DX35)</f>
        <v>0</v>
      </c>
      <c r="AB35" s="102" t="str">
        <f t="shared" si="0"/>
        <v>Workers profit sharing</v>
      </c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9">
        <v>-14683.90128048</v>
      </c>
      <c r="BZ35" s="109">
        <v>-19055.526799679988</v>
      </c>
      <c r="CA35" s="109">
        <v>-16916.919796970011</v>
      </c>
      <c r="CB35" s="109">
        <v>-5026.441233059988</v>
      </c>
      <c r="CC35" s="109">
        <v>-15588.930408870003</v>
      </c>
      <c r="CD35" s="109">
        <v>-24479.408299679999</v>
      </c>
      <c r="CE35" s="109">
        <v>-22552.705058789994</v>
      </c>
      <c r="CF35" s="109">
        <v>-16009.792560739988</v>
      </c>
      <c r="CG35" s="109">
        <v>0</v>
      </c>
      <c r="CH35" s="109">
        <v>0</v>
      </c>
      <c r="CI35" s="109">
        <v>0</v>
      </c>
      <c r="CJ35" s="109">
        <v>0</v>
      </c>
      <c r="CK35" s="109">
        <v>0</v>
      </c>
      <c r="CL35" s="109">
        <v>0</v>
      </c>
      <c r="CM35" s="109">
        <v>0</v>
      </c>
      <c r="CN35" s="109">
        <v>0</v>
      </c>
      <c r="CO35" s="109">
        <v>0</v>
      </c>
      <c r="CP35" s="109">
        <v>0</v>
      </c>
      <c r="CQ35" s="109">
        <v>0</v>
      </c>
      <c r="CR35" s="109">
        <v>0</v>
      </c>
      <c r="CS35" s="109">
        <v>0</v>
      </c>
      <c r="CT35" s="109">
        <v>0</v>
      </c>
      <c r="CU35" s="109">
        <v>0</v>
      </c>
      <c r="CV35" s="109">
        <v>0</v>
      </c>
      <c r="CW35" s="109">
        <v>0</v>
      </c>
      <c r="CX35" s="110">
        <v>0</v>
      </c>
      <c r="CY35" s="110">
        <v>0</v>
      </c>
      <c r="CZ35" s="110">
        <v>0</v>
      </c>
      <c r="DA35" s="108">
        <v>0</v>
      </c>
      <c r="DB35" s="108">
        <v>0</v>
      </c>
      <c r="DC35" s="108">
        <v>0</v>
      </c>
      <c r="DD35" s="108">
        <v>0</v>
      </c>
      <c r="DE35" s="108">
        <v>0</v>
      </c>
      <c r="DF35" s="108">
        <v>0</v>
      </c>
      <c r="DG35" s="108">
        <v>0</v>
      </c>
      <c r="DH35" s="108">
        <v>0</v>
      </c>
      <c r="DI35" s="108">
        <v>0</v>
      </c>
      <c r="DJ35" s="108">
        <v>0</v>
      </c>
      <c r="DK35" s="108">
        <v>0</v>
      </c>
      <c r="DL35" s="108">
        <v>0</v>
      </c>
      <c r="DM35" s="108">
        <v>0</v>
      </c>
      <c r="DN35" s="108">
        <v>0</v>
      </c>
      <c r="DO35" s="108">
        <v>0</v>
      </c>
      <c r="DP35" s="108">
        <v>0</v>
      </c>
      <c r="DQ35" s="108">
        <v>0</v>
      </c>
      <c r="DR35" s="108">
        <v>0</v>
      </c>
      <c r="DS35" s="108">
        <v>0</v>
      </c>
      <c r="DT35" s="108">
        <v>0</v>
      </c>
      <c r="DU35" s="108">
        <v>0</v>
      </c>
      <c r="DV35" s="108">
        <v>0</v>
      </c>
      <c r="DW35" s="108">
        <v>0</v>
      </c>
      <c r="DX35" s="108">
        <v>0</v>
      </c>
    </row>
    <row r="36" spans="1:128" s="33" customFormat="1" ht="10.199999999999999">
      <c r="A36" s="102" t="s">
        <v>40</v>
      </c>
      <c r="B36" s="102"/>
      <c r="C36" s="102"/>
      <c r="D36" s="102"/>
      <c r="E36" s="102"/>
      <c r="F36" s="102"/>
      <c r="G36" s="102"/>
      <c r="H36" s="105"/>
      <c r="I36" s="105"/>
      <c r="J36" s="105"/>
      <c r="K36" s="105"/>
      <c r="L36" s="105"/>
      <c r="M36" s="105"/>
      <c r="N36" s="105">
        <f>SUM(BY36:CB36)</f>
        <v>-417992.91441254003</v>
      </c>
      <c r="O36" s="105">
        <f>SUM(CC36:CF36)</f>
        <v>-528374.2402095201</v>
      </c>
      <c r="P36" s="105">
        <f>SUM(CG36:CJ36)</f>
        <v>-567528.4255700002</v>
      </c>
      <c r="Q36" s="104">
        <f>SUM(CK36:CN36)</f>
        <v>-662369.13923078007</v>
      </c>
      <c r="R36" s="104">
        <f>SUM(CO36:CR36)</f>
        <v>-777630.36315145914</v>
      </c>
      <c r="S36" s="104">
        <f>SUM(CS36:CV36)</f>
        <v>-926353.05</v>
      </c>
      <c r="T36" s="598">
        <f>SUM(CW36:CZ36)</f>
        <v>-1174276.9444444445</v>
      </c>
      <c r="U36" s="103">
        <f ca="1">SUM(DA36:DD36)</f>
        <v>-1316235.4746599025</v>
      </c>
      <c r="V36" s="103">
        <f ca="1">SUM(DE36:DH36)</f>
        <v>-1426259.1726266094</v>
      </c>
      <c r="W36" s="103">
        <f ca="1">SUM(DI36:DL36)</f>
        <v>-1603824.5932017001</v>
      </c>
      <c r="X36" s="103">
        <f ca="1">SUM(DM36:DP36)</f>
        <v>-1844987.2971067321</v>
      </c>
      <c r="Y36" s="103">
        <f ca="1">SUM(DQ36:DT36)</f>
        <v>-2141515.3786479272</v>
      </c>
      <c r="Z36" s="103">
        <f ca="1">SUM(DU36:DX36)</f>
        <v>-2488319.0396904959</v>
      </c>
      <c r="AB36" s="102" t="str">
        <f t="shared" si="0"/>
        <v>Income taxes</v>
      </c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9">
        <v>-107715.08786740003</v>
      </c>
      <c r="BZ36" s="109">
        <v>-137844.06708531</v>
      </c>
      <c r="CA36" s="109">
        <v>-116335.24673521006</v>
      </c>
      <c r="CB36" s="109">
        <v>-56098.512724619941</v>
      </c>
      <c r="CC36" s="109">
        <v>-112285.97066993998</v>
      </c>
      <c r="CD36" s="109">
        <v>-161824.31415598001</v>
      </c>
      <c r="CE36" s="109">
        <v>-153938.15099683998</v>
      </c>
      <c r="CF36" s="109">
        <v>-100325.80438676011</v>
      </c>
      <c r="CG36" s="109">
        <v>-169061.10670017998</v>
      </c>
      <c r="CH36" s="109">
        <v>-119950.25716243993</v>
      </c>
      <c r="CI36" s="109">
        <v>-160975.55139927025</v>
      </c>
      <c r="CJ36" s="109">
        <v>-117541.51030811004</v>
      </c>
      <c r="CK36" s="109">
        <v>-160882.74500520003</v>
      </c>
      <c r="CL36" s="109">
        <v>-156543.23149025987</v>
      </c>
      <c r="CM36" s="109">
        <v>-186407.1148955602</v>
      </c>
      <c r="CN36" s="109">
        <v>-158536.04783975997</v>
      </c>
      <c r="CO36" s="109">
        <v>-187065.28315477999</v>
      </c>
      <c r="CP36" s="109">
        <v>-193230.90209457412</v>
      </c>
      <c r="CQ36" s="109">
        <v>-208886.62256652431</v>
      </c>
      <c r="CR36" s="109">
        <v>-188447.55533558072</v>
      </c>
      <c r="CS36" s="109">
        <f>-230815+77100*0.2345</f>
        <v>-212735.05</v>
      </c>
      <c r="CT36" s="109">
        <v>-204934</v>
      </c>
      <c r="CU36" s="109">
        <v>-275364</v>
      </c>
      <c r="CV36" s="109">
        <f>-257220+23900</f>
        <v>-233320</v>
      </c>
      <c r="CW36" s="109">
        <v>-309431</v>
      </c>
      <c r="CX36" s="110">
        <v>-289389</v>
      </c>
      <c r="CY36" s="110">
        <f>-300989+(58963/0.72*0.28)</f>
        <v>-278058.94444444444</v>
      </c>
      <c r="CZ36" s="110">
        <f>-297398</f>
        <v>-297398</v>
      </c>
      <c r="DA36" s="108">
        <f ca="1">-Assumptions!DA45*('Income Statement'!DA33+DA34)</f>
        <v>-320377.78363617568</v>
      </c>
      <c r="DB36" s="108">
        <f ca="1">-Assumptions!DB45*('Income Statement'!DB33+DB34)</f>
        <v>-322990.24049110431</v>
      </c>
      <c r="DC36" s="108">
        <f ca="1">-Assumptions!DC45*('Income Statement'!DC33+DC34)</f>
        <v>-336002.33236894209</v>
      </c>
      <c r="DD36" s="108">
        <f ca="1">-Assumptions!DD45*('Income Statement'!DD33+DD34)</f>
        <v>-336865.11816368037</v>
      </c>
      <c r="DE36" s="108">
        <f ca="1">-Assumptions!DE45*('Income Statement'!DE33+DE34)</f>
        <v>-343055.94392249233</v>
      </c>
      <c r="DF36" s="108">
        <f ca="1">-Assumptions!DF45*('Income Statement'!DF33+DF34)</f>
        <v>-353985.65372573433</v>
      </c>
      <c r="DG36" s="108">
        <f ca="1">-Assumptions!DG45*('Income Statement'!DG33+DG34)</f>
        <v>-361530.41827830113</v>
      </c>
      <c r="DH36" s="108">
        <f ca="1">-Assumptions!DH45*('Income Statement'!DH33+DH34)</f>
        <v>-367687.1567000816</v>
      </c>
      <c r="DI36" s="108">
        <f ca="1">-Assumptions!DI45*('Income Statement'!DI33+DI34)</f>
        <v>-376086.98038466327</v>
      </c>
      <c r="DJ36" s="108">
        <f ca="1">-Assumptions!DJ45*('Income Statement'!DJ33+DJ34)</f>
        <v>-395755.63704187784</v>
      </c>
      <c r="DK36" s="108">
        <f ca="1">-Assumptions!DK45*('Income Statement'!DK33+DK34)</f>
        <v>-410139.63333967736</v>
      </c>
      <c r="DL36" s="108">
        <f ca="1">-Assumptions!DL45*('Income Statement'!DL33+DL34)</f>
        <v>-421842.34243548149</v>
      </c>
      <c r="DM36" s="108">
        <f ca="1">-Assumptions!DM45*('Income Statement'!DM33+DM34)</f>
        <v>-447512.4190125899</v>
      </c>
      <c r="DN36" s="108">
        <f ca="1">-Assumptions!DN45*('Income Statement'!DN33+DN34)</f>
        <v>-457139.30200563325</v>
      </c>
      <c r="DO36" s="108">
        <f ca="1">-Assumptions!DO45*('Income Statement'!DO33+DO34)</f>
        <v>-467571.81176499871</v>
      </c>
      <c r="DP36" s="108">
        <f ca="1">-Assumptions!DP45*('Income Statement'!DP33+DP34)</f>
        <v>-472763.76432351</v>
      </c>
      <c r="DQ36" s="108">
        <f ca="1">-Assumptions!DQ45*('Income Statement'!DQ33+DQ34)</f>
        <v>-510724.85306517227</v>
      </c>
      <c r="DR36" s="108">
        <f ca="1">-Assumptions!DR45*('Income Statement'!DR33+DR34)</f>
        <v>-530348.8198526958</v>
      </c>
      <c r="DS36" s="108">
        <f ca="1">-Assumptions!DS45*('Income Statement'!DS33+DS34)</f>
        <v>-546794.89728915272</v>
      </c>
      <c r="DT36" s="108">
        <f ca="1">-Assumptions!DT45*('Income Statement'!DT33+DT34)</f>
        <v>-553646.80844090669</v>
      </c>
      <c r="DU36" s="108">
        <f ca="1">-Assumptions!DU45*('Income Statement'!DU33+DU34)</f>
        <v>-595619.16018203343</v>
      </c>
      <c r="DV36" s="108">
        <f ca="1">-Assumptions!DV45*('Income Statement'!DV33+DV34)</f>
        <v>-617188.78135088866</v>
      </c>
      <c r="DW36" s="108">
        <f ca="1">-Assumptions!DW45*('Income Statement'!DW33+DW34)</f>
        <v>-633007.15334535891</v>
      </c>
      <c r="DX36" s="108">
        <f ca="1">-Assumptions!DX45*('Income Statement'!DX33+DX34)</f>
        <v>-642503.94481221493</v>
      </c>
    </row>
    <row r="37" spans="1:128" s="106" customFormat="1" ht="10.199999999999999">
      <c r="A37" s="107" t="s">
        <v>39</v>
      </c>
      <c r="B37" s="107"/>
      <c r="C37" s="107"/>
      <c r="D37" s="107"/>
      <c r="E37" s="107"/>
      <c r="F37" s="107"/>
      <c r="G37" s="107"/>
      <c r="H37" s="101"/>
      <c r="I37" s="101"/>
      <c r="J37" s="101"/>
      <c r="K37" s="101"/>
      <c r="L37" s="101"/>
      <c r="M37" s="101"/>
      <c r="N37" s="101">
        <f t="shared" ref="N37:X37" si="59">SUM(N33:N36)</f>
        <v>1512873.2029215456</v>
      </c>
      <c r="O37" s="101">
        <f t="shared" si="59"/>
        <v>1704313.8445448189</v>
      </c>
      <c r="P37" s="101">
        <f t="shared" si="59"/>
        <v>2011723.3365124369</v>
      </c>
      <c r="Q37" s="100">
        <f t="shared" si="59"/>
        <v>2130927.6744633568</v>
      </c>
      <c r="R37" s="100">
        <f t="shared" si="59"/>
        <v>1557540.6101671676</v>
      </c>
      <c r="S37" s="100">
        <f t="shared" si="59"/>
        <v>2455927.9500000002</v>
      </c>
      <c r="T37" s="117">
        <f t="shared" si="59"/>
        <v>3142858.9999999995</v>
      </c>
      <c r="U37" s="99">
        <f t="shared" ca="1" si="59"/>
        <v>3608603.1971749463</v>
      </c>
      <c r="V37" s="99">
        <f t="shared" ca="1" si="59"/>
        <v>4278777.5178798307</v>
      </c>
      <c r="W37" s="99">
        <f t="shared" ca="1" si="59"/>
        <v>5078777.8784720507</v>
      </c>
      <c r="X37" s="99">
        <f t="shared" ca="1" si="59"/>
        <v>5842459.7741713189</v>
      </c>
      <c r="Y37" s="99">
        <f t="shared" ref="Y37:Z37" ca="1" si="60">SUM(Y33:Y36)</f>
        <v>6781465.3657184429</v>
      </c>
      <c r="Z37" s="99">
        <f t="shared" ca="1" si="60"/>
        <v>7879676.9590199031</v>
      </c>
      <c r="AB37" s="107" t="str">
        <f t="shared" si="0"/>
        <v>Net income</v>
      </c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1">
        <f t="shared" ref="BY37:CQ37" si="61">SUM(BY33:BY36)</f>
        <v>375402.76262452989</v>
      </c>
      <c r="BZ37" s="101">
        <f t="shared" si="61"/>
        <v>371371.13035881973</v>
      </c>
      <c r="CA37" s="101">
        <f t="shared" si="61"/>
        <v>381772.90015477443</v>
      </c>
      <c r="CB37" s="101">
        <f t="shared" si="61"/>
        <v>384326.40978342225</v>
      </c>
      <c r="CC37" s="101">
        <f t="shared" si="61"/>
        <v>376443.4693339502</v>
      </c>
      <c r="CD37" s="101">
        <f t="shared" si="61"/>
        <v>492392.73340905923</v>
      </c>
      <c r="CE37" s="101">
        <f t="shared" si="61"/>
        <v>463810.44027563033</v>
      </c>
      <c r="CF37" s="101">
        <f t="shared" si="61"/>
        <v>371667.20152618026</v>
      </c>
      <c r="CG37" s="101">
        <f t="shared" si="61"/>
        <v>497006.01659177942</v>
      </c>
      <c r="CH37" s="101">
        <f t="shared" si="61"/>
        <v>494119.43409182917</v>
      </c>
      <c r="CI37" s="101">
        <f t="shared" si="61"/>
        <v>478510.81665458198</v>
      </c>
      <c r="CJ37" s="101">
        <f t="shared" si="61"/>
        <v>542087.06917424779</v>
      </c>
      <c r="CK37" s="101">
        <f t="shared" si="61"/>
        <v>516383.30100202968</v>
      </c>
      <c r="CL37" s="101">
        <f t="shared" si="61"/>
        <v>472166.00905272155</v>
      </c>
      <c r="CM37" s="101">
        <f t="shared" si="61"/>
        <v>609649.66118015966</v>
      </c>
      <c r="CN37" s="101">
        <f t="shared" si="61"/>
        <v>532728.70322844398</v>
      </c>
      <c r="CO37" s="101">
        <f t="shared" si="61"/>
        <v>479238.6654762199</v>
      </c>
      <c r="CP37" s="101">
        <f t="shared" si="61"/>
        <v>146963.65698545024</v>
      </c>
      <c r="CQ37" s="101">
        <f t="shared" si="61"/>
        <v>512500.15613531799</v>
      </c>
      <c r="CR37" s="101">
        <f t="shared" ref="CR37" si="62">SUM(CR33:CR36)</f>
        <v>418838.13157018053</v>
      </c>
      <c r="CS37" s="101">
        <f t="shared" ref="CS37:DP37" si="63">SUM(CS33:CS36)</f>
        <v>620258.94999999995</v>
      </c>
      <c r="CT37" s="101">
        <f t="shared" si="63"/>
        <v>599688</v>
      </c>
      <c r="CU37" s="101">
        <f t="shared" ref="CU37:CV37" si="64">SUM(CU33:CU36)</f>
        <v>658376</v>
      </c>
      <c r="CV37" s="101">
        <f t="shared" si="64"/>
        <v>577605</v>
      </c>
      <c r="CW37" s="101">
        <f t="shared" ref="CW37:CZ37" si="65">SUM(CW33:CW36)</f>
        <v>833171</v>
      </c>
      <c r="CX37" s="117">
        <f t="shared" si="65"/>
        <v>769271</v>
      </c>
      <c r="CY37" s="117">
        <f t="shared" si="65"/>
        <v>768980</v>
      </c>
      <c r="CZ37" s="117">
        <f t="shared" si="65"/>
        <v>771437</v>
      </c>
      <c r="DA37" s="99">
        <f t="shared" ca="1" si="63"/>
        <v>844632.33867719036</v>
      </c>
      <c r="DB37" s="99">
        <f t="shared" ca="1" si="63"/>
        <v>873269.90947594866</v>
      </c>
      <c r="DC37" s="99">
        <f t="shared" ca="1" si="63"/>
        <v>931930.99732517905</v>
      </c>
      <c r="DD37" s="99">
        <f t="shared" ca="1" si="63"/>
        <v>958769.9516966287</v>
      </c>
      <c r="DE37" s="99">
        <f t="shared" ca="1" si="63"/>
        <v>1029167.831767477</v>
      </c>
      <c r="DF37" s="99">
        <f t="shared" ca="1" si="63"/>
        <v>1061956.9611772029</v>
      </c>
      <c r="DG37" s="99">
        <f t="shared" ca="1" si="63"/>
        <v>1084591.2548349034</v>
      </c>
      <c r="DH37" s="99">
        <f t="shared" ca="1" si="63"/>
        <v>1103061.4701002447</v>
      </c>
      <c r="DI37" s="99">
        <f t="shared" ca="1" si="63"/>
        <v>1190942.1045514338</v>
      </c>
      <c r="DJ37" s="99">
        <f t="shared" ca="1" si="63"/>
        <v>1253226.1839659465</v>
      </c>
      <c r="DK37" s="99">
        <f t="shared" ca="1" si="63"/>
        <v>1298775.5055756452</v>
      </c>
      <c r="DL37" s="99">
        <f t="shared" ca="1" si="63"/>
        <v>1335834.0843790248</v>
      </c>
      <c r="DM37" s="99">
        <f t="shared" ca="1" si="63"/>
        <v>1417122.6602065349</v>
      </c>
      <c r="DN37" s="99">
        <f t="shared" ca="1" si="63"/>
        <v>1447607.7896845054</v>
      </c>
      <c r="DO37" s="99">
        <f t="shared" ca="1" si="63"/>
        <v>1480644.0705891629</v>
      </c>
      <c r="DP37" s="99">
        <f t="shared" ca="1" si="63"/>
        <v>1497085.2536911152</v>
      </c>
      <c r="DQ37" s="99">
        <f t="shared" ref="DQ37:DT37" ca="1" si="66">SUM(DQ33:DQ36)</f>
        <v>1617295.3680397123</v>
      </c>
      <c r="DR37" s="99">
        <f t="shared" ca="1" si="66"/>
        <v>1679437.9295335365</v>
      </c>
      <c r="DS37" s="99">
        <f t="shared" ca="1" si="66"/>
        <v>1731517.1747489837</v>
      </c>
      <c r="DT37" s="99">
        <f t="shared" ca="1" si="66"/>
        <v>1753214.8933962046</v>
      </c>
      <c r="DU37" s="99">
        <f t="shared" ref="DU37:DX37" ca="1" si="67">SUM(DU33:DU36)</f>
        <v>1886127.3405764394</v>
      </c>
      <c r="DV37" s="99">
        <f t="shared" ca="1" si="67"/>
        <v>1954431.1409444809</v>
      </c>
      <c r="DW37" s="99">
        <f t="shared" ca="1" si="67"/>
        <v>2004522.652260303</v>
      </c>
      <c r="DX37" s="99">
        <f t="shared" ca="1" si="67"/>
        <v>2034595.8252386809</v>
      </c>
    </row>
    <row r="38" spans="1:128" s="33" customFormat="1" ht="10.199999999999999">
      <c r="A38" s="102" t="s">
        <v>38</v>
      </c>
      <c r="B38" s="102"/>
      <c r="C38" s="102"/>
      <c r="D38" s="102"/>
      <c r="E38" s="102"/>
      <c r="F38" s="102"/>
      <c r="G38" s="102"/>
      <c r="H38" s="105"/>
      <c r="I38" s="105"/>
      <c r="J38" s="105"/>
      <c r="K38" s="105"/>
      <c r="L38" s="105"/>
      <c r="M38" s="105"/>
      <c r="N38" s="105">
        <f>SUM(BY38:CB38)</f>
        <v>-103519.01568962004</v>
      </c>
      <c r="O38" s="105">
        <f>SUM(CC38:CF38)</f>
        <v>-90536.003155740022</v>
      </c>
      <c r="P38" s="105">
        <f>SUM(CG38:CJ38)</f>
        <v>-39140.734756239995</v>
      </c>
      <c r="Q38" s="104">
        <f>SUM(CK38:CN38)</f>
        <v>-50885.804104534742</v>
      </c>
      <c r="R38" s="104">
        <f>SUM(CO38:CR38)</f>
        <v>-18831.918637051662</v>
      </c>
      <c r="S38" s="104">
        <f>SUM(CS38:CV38)</f>
        <v>-33394</v>
      </c>
      <c r="T38" s="598">
        <f>SUM(CW38:CZ38)</f>
        <v>-71082</v>
      </c>
      <c r="U38" s="103">
        <f ca="1">SUM(DA38:DD38)</f>
        <v>-90215.079929373664</v>
      </c>
      <c r="V38" s="103">
        <f ca="1">SUM(DE38:DH38)</f>
        <v>-106969.43794699572</v>
      </c>
      <c r="W38" s="103">
        <f ca="1">SUM(DI38:DL38)</f>
        <v>-126969.44696180127</v>
      </c>
      <c r="X38" s="103">
        <f ca="1">SUM(DM38:DP38)</f>
        <v>-146061.49435428297</v>
      </c>
      <c r="Y38" s="103">
        <f ca="1">SUM(DQ38:DT38)</f>
        <v>-169536.63414296095</v>
      </c>
      <c r="Z38" s="103">
        <f ca="1">SUM(DU38:DX38)</f>
        <v>-196991.92397549766</v>
      </c>
      <c r="AB38" s="102" t="str">
        <f t="shared" si="0"/>
        <v>Minority interest</v>
      </c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9">
        <v>-21986.162895230002</v>
      </c>
      <c r="BZ38" s="109">
        <v>-25891.078216180002</v>
      </c>
      <c r="CA38" s="109">
        <v>-24800.971705690004</v>
      </c>
      <c r="CB38" s="109">
        <v>-30840.802872520027</v>
      </c>
      <c r="CC38" s="109">
        <v>-23629.202231819996</v>
      </c>
      <c r="CD38" s="109">
        <v>-32437.565136760008</v>
      </c>
      <c r="CE38" s="109">
        <v>-26222.502580699998</v>
      </c>
      <c r="CF38" s="109">
        <v>-8246.7332064600196</v>
      </c>
      <c r="CG38" s="109">
        <v>-9676.5772614799989</v>
      </c>
      <c r="CH38" s="109">
        <v>-11150.520583269985</v>
      </c>
      <c r="CI38" s="109">
        <v>-10256.120852330012</v>
      </c>
      <c r="CJ38" s="109">
        <v>-8057.5160591599997</v>
      </c>
      <c r="CK38" s="109">
        <v>-9913.7021603300018</v>
      </c>
      <c r="CL38" s="109">
        <v>-8098.9447861499866</v>
      </c>
      <c r="CM38" s="109">
        <v>-14836.875526910007</v>
      </c>
      <c r="CN38" s="109">
        <v>-18036.281631144746</v>
      </c>
      <c r="CO38" s="109">
        <v>-10052.548907850003</v>
      </c>
      <c r="CP38" s="109">
        <v>-864.02341520003392</v>
      </c>
      <c r="CQ38" s="109">
        <v>-11450.970428553417</v>
      </c>
      <c r="CR38" s="109">
        <v>3535.6241145517924</v>
      </c>
      <c r="CS38" s="109">
        <v>-17154</v>
      </c>
      <c r="CT38" s="109">
        <v>-15002</v>
      </c>
      <c r="CU38" s="109">
        <v>-12941</v>
      </c>
      <c r="CV38" s="109">
        <v>11703</v>
      </c>
      <c r="CW38" s="109">
        <v>-28436</v>
      </c>
      <c r="CX38" s="110">
        <v>-19976</v>
      </c>
      <c r="CY38" s="110">
        <v>-20798</v>
      </c>
      <c r="CZ38" s="110">
        <v>-1872</v>
      </c>
      <c r="DA38" s="108">
        <f ca="1">-Assumptions!DA46*(1-Assumptions!DA45)*'Income Statement'!DA33</f>
        <v>-21115.808466929757</v>
      </c>
      <c r="DB38" s="108">
        <f ca="1">-Assumptions!DB46*(1-Assumptions!DB45)*'Income Statement'!DB33</f>
        <v>-21831.747736898717</v>
      </c>
      <c r="DC38" s="108">
        <f ca="1">-Assumptions!DC46*(1-Assumptions!DC45)*'Income Statement'!DC33</f>
        <v>-23298.274933129476</v>
      </c>
      <c r="DD38" s="108">
        <f ca="1">-Assumptions!DD46*(1-Assumptions!DD45)*'Income Statement'!DD33</f>
        <v>-23969.248792415718</v>
      </c>
      <c r="DE38" s="108">
        <f ca="1">-Assumptions!DE46*(1-Assumptions!DE45)*'Income Statement'!DE33</f>
        <v>-25729.19579418693</v>
      </c>
      <c r="DF38" s="108">
        <f ca="1">-Assumptions!DF46*(1-Assumptions!DF45)*'Income Statement'!DF33</f>
        <v>-26548.92402943008</v>
      </c>
      <c r="DG38" s="108">
        <f ca="1">-Assumptions!DG46*(1-Assumptions!DG45)*'Income Statement'!DG33</f>
        <v>-27114.781370872588</v>
      </c>
      <c r="DH38" s="108">
        <f ca="1">-Assumptions!DH46*(1-Assumptions!DH45)*'Income Statement'!DH33</f>
        <v>-27576.536752506123</v>
      </c>
      <c r="DI38" s="108">
        <f ca="1">-Assumptions!DI46*(1-Assumptions!DI45)*'Income Statement'!DI33</f>
        <v>-29773.552613785847</v>
      </c>
      <c r="DJ38" s="108">
        <f ca="1">-Assumptions!DJ46*(1-Assumptions!DJ45)*'Income Statement'!DJ33</f>
        <v>-31330.654599148671</v>
      </c>
      <c r="DK38" s="108">
        <f ca="1">-Assumptions!DK46*(1-Assumptions!DK45)*'Income Statement'!DK33</f>
        <v>-32469.387639391134</v>
      </c>
      <c r="DL38" s="108">
        <f ca="1">-Assumptions!DL46*(1-Assumptions!DL45)*'Income Statement'!DL33</f>
        <v>-33395.852109475622</v>
      </c>
      <c r="DM38" s="108">
        <f ca="1">-Assumptions!DM46*(1-Assumptions!DM45)*'Income Statement'!DM33</f>
        <v>-35428.066505163377</v>
      </c>
      <c r="DN38" s="108">
        <f ca="1">-Assumptions!DN46*(1-Assumptions!DN45)*'Income Statement'!DN33</f>
        <v>-36190.194742112639</v>
      </c>
      <c r="DO38" s="108">
        <f ca="1">-Assumptions!DO46*(1-Assumptions!DO45)*'Income Statement'!DO33</f>
        <v>-37016.101764729072</v>
      </c>
      <c r="DP38" s="108">
        <f ca="1">-Assumptions!DP46*(1-Assumptions!DP45)*'Income Statement'!DP33</f>
        <v>-37427.131342277884</v>
      </c>
      <c r="DQ38" s="108">
        <f ca="1">-Assumptions!DQ46*(1-Assumptions!DQ45)*'Income Statement'!DQ33</f>
        <v>-40432.384200992812</v>
      </c>
      <c r="DR38" s="108">
        <f ca="1">-Assumptions!DR46*(1-Assumptions!DR45)*'Income Statement'!DR33</f>
        <v>-41985.948238338424</v>
      </c>
      <c r="DS38" s="108">
        <f ca="1">-Assumptions!DS46*(1-Assumptions!DS45)*'Income Statement'!DS33</f>
        <v>-43287.929368724595</v>
      </c>
      <c r="DT38" s="108">
        <f ca="1">-Assumptions!DT46*(1-Assumptions!DT45)*'Income Statement'!DT33</f>
        <v>-43830.372334905122</v>
      </c>
      <c r="DU38" s="108">
        <f ca="1">-Assumptions!DU46*(1-Assumptions!DU45)*'Income Statement'!DU33</f>
        <v>-47153.183514410994</v>
      </c>
      <c r="DV38" s="108">
        <f ca="1">-Assumptions!DV46*(1-Assumptions!DV45)*'Income Statement'!DV33</f>
        <v>-48860.778523612033</v>
      </c>
      <c r="DW38" s="108">
        <f ca="1">-Assumptions!DW46*(1-Assumptions!DW45)*'Income Statement'!DW33</f>
        <v>-50113.066306507586</v>
      </c>
      <c r="DX38" s="108">
        <f ca="1">-Assumptions!DX46*(1-Assumptions!DX45)*'Income Statement'!DX33</f>
        <v>-50864.895630967032</v>
      </c>
    </row>
    <row r="39" spans="1:128" s="106" customFormat="1" ht="10.199999999999999">
      <c r="A39" s="107" t="s">
        <v>37</v>
      </c>
      <c r="B39" s="107"/>
      <c r="C39" s="107"/>
      <c r="D39" s="107"/>
      <c r="E39" s="107"/>
      <c r="F39" s="107"/>
      <c r="G39" s="107"/>
      <c r="H39" s="101"/>
      <c r="I39" s="101"/>
      <c r="J39" s="101"/>
      <c r="K39" s="101"/>
      <c r="L39" s="101"/>
      <c r="M39" s="101"/>
      <c r="N39" s="101">
        <f t="shared" ref="N39:X39" si="68">N37+N38</f>
        <v>1409354.1872319255</v>
      </c>
      <c r="O39" s="101">
        <f t="shared" si="68"/>
        <v>1613777.8413890789</v>
      </c>
      <c r="P39" s="101">
        <f t="shared" si="68"/>
        <v>1972582.6017561969</v>
      </c>
      <c r="Q39" s="100">
        <f t="shared" si="68"/>
        <v>2080041.8703588222</v>
      </c>
      <c r="R39" s="100">
        <f t="shared" si="68"/>
        <v>1538708.6915301159</v>
      </c>
      <c r="S39" s="100">
        <f t="shared" si="68"/>
        <v>2422533.9500000002</v>
      </c>
      <c r="T39" s="117">
        <f t="shared" si="68"/>
        <v>3071776.9999999995</v>
      </c>
      <c r="U39" s="99">
        <f t="shared" ca="1" si="68"/>
        <v>3518388.1172455726</v>
      </c>
      <c r="V39" s="99">
        <f t="shared" ca="1" si="68"/>
        <v>4171808.079932835</v>
      </c>
      <c r="W39" s="99">
        <f t="shared" ca="1" si="68"/>
        <v>4951808.4315102492</v>
      </c>
      <c r="X39" s="99">
        <f t="shared" ca="1" si="68"/>
        <v>5696398.2798170354</v>
      </c>
      <c r="Y39" s="99">
        <f t="shared" ref="Y39:Z39" ca="1" si="69">Y37+Y38</f>
        <v>6611928.7315754816</v>
      </c>
      <c r="Z39" s="99">
        <f t="shared" ca="1" si="69"/>
        <v>7682685.0350444056</v>
      </c>
      <c r="AB39" s="107" t="str">
        <f t="shared" si="0"/>
        <v>Recurring net income</v>
      </c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1">
        <f t="shared" ref="BY39:CQ39" si="70">BY37+BY38</f>
        <v>353416.59972929989</v>
      </c>
      <c r="BZ39" s="101">
        <f t="shared" si="70"/>
        <v>345480.05214263976</v>
      </c>
      <c r="CA39" s="101">
        <f t="shared" si="70"/>
        <v>356971.9284490844</v>
      </c>
      <c r="CB39" s="101">
        <f t="shared" si="70"/>
        <v>353485.60691090219</v>
      </c>
      <c r="CC39" s="101">
        <f t="shared" si="70"/>
        <v>352814.26710213022</v>
      </c>
      <c r="CD39" s="101">
        <f t="shared" si="70"/>
        <v>459955.16827229923</v>
      </c>
      <c r="CE39" s="101">
        <f t="shared" si="70"/>
        <v>437587.93769493036</v>
      </c>
      <c r="CF39" s="101">
        <f t="shared" si="70"/>
        <v>363420.46831972024</v>
      </c>
      <c r="CG39" s="101">
        <f t="shared" si="70"/>
        <v>487329.43933029944</v>
      </c>
      <c r="CH39" s="101">
        <f t="shared" si="70"/>
        <v>482968.91350855917</v>
      </c>
      <c r="CI39" s="101">
        <f t="shared" si="70"/>
        <v>468254.69580225198</v>
      </c>
      <c r="CJ39" s="101">
        <f t="shared" si="70"/>
        <v>534029.55311508779</v>
      </c>
      <c r="CK39" s="101">
        <f t="shared" si="70"/>
        <v>506469.59884169966</v>
      </c>
      <c r="CL39" s="101">
        <f t="shared" si="70"/>
        <v>464067.06426657154</v>
      </c>
      <c r="CM39" s="101">
        <f t="shared" si="70"/>
        <v>594812.78565324959</v>
      </c>
      <c r="CN39" s="101">
        <f t="shared" si="70"/>
        <v>514692.42159729922</v>
      </c>
      <c r="CO39" s="101">
        <f t="shared" si="70"/>
        <v>469186.11656836991</v>
      </c>
      <c r="CP39" s="101">
        <f t="shared" si="70"/>
        <v>146099.63357025021</v>
      </c>
      <c r="CQ39" s="101">
        <f t="shared" si="70"/>
        <v>501049.18570676458</v>
      </c>
      <c r="CR39" s="101">
        <f t="shared" ref="CR39" si="71">CR37+CR38</f>
        <v>422373.75568473234</v>
      </c>
      <c r="CS39" s="101">
        <f t="shared" ref="CS39:DP39" si="72">CS37+CS38</f>
        <v>603104.94999999995</v>
      </c>
      <c r="CT39" s="101">
        <f t="shared" si="72"/>
        <v>584686</v>
      </c>
      <c r="CU39" s="101">
        <f t="shared" ref="CU39:CV39" si="73">CU37+CU38</f>
        <v>645435</v>
      </c>
      <c r="CV39" s="101">
        <f t="shared" si="73"/>
        <v>589308</v>
      </c>
      <c r="CW39" s="101">
        <f t="shared" ref="CW39:CZ39" si="74">CW37+CW38</f>
        <v>804735</v>
      </c>
      <c r="CX39" s="117">
        <f t="shared" si="74"/>
        <v>749295</v>
      </c>
      <c r="CY39" s="117">
        <f t="shared" si="74"/>
        <v>748182</v>
      </c>
      <c r="CZ39" s="117">
        <f t="shared" si="74"/>
        <v>769565</v>
      </c>
      <c r="DA39" s="99">
        <f t="shared" ca="1" si="72"/>
        <v>823516.53021026065</v>
      </c>
      <c r="DB39" s="99">
        <f t="shared" ca="1" si="72"/>
        <v>851438.16173904995</v>
      </c>
      <c r="DC39" s="99">
        <f t="shared" ca="1" si="72"/>
        <v>908632.72239204962</v>
      </c>
      <c r="DD39" s="99">
        <f t="shared" ca="1" si="72"/>
        <v>934800.70290421299</v>
      </c>
      <c r="DE39" s="99">
        <f t="shared" ca="1" si="72"/>
        <v>1003438.6359732901</v>
      </c>
      <c r="DF39" s="99">
        <f t="shared" ca="1" si="72"/>
        <v>1035408.0371477728</v>
      </c>
      <c r="DG39" s="99">
        <f t="shared" ca="1" si="72"/>
        <v>1057476.4734640308</v>
      </c>
      <c r="DH39" s="99">
        <f t="shared" ca="1" si="72"/>
        <v>1075484.9333477386</v>
      </c>
      <c r="DI39" s="99">
        <f t="shared" ca="1" si="72"/>
        <v>1161168.5519376479</v>
      </c>
      <c r="DJ39" s="99">
        <f t="shared" ca="1" si="72"/>
        <v>1221895.5293667978</v>
      </c>
      <c r="DK39" s="99">
        <f t="shared" ca="1" si="72"/>
        <v>1266306.117936254</v>
      </c>
      <c r="DL39" s="99">
        <f t="shared" ca="1" si="72"/>
        <v>1302438.2322695493</v>
      </c>
      <c r="DM39" s="99">
        <f t="shared" ca="1" si="72"/>
        <v>1381694.5937013715</v>
      </c>
      <c r="DN39" s="99">
        <f t="shared" ca="1" si="72"/>
        <v>1411417.5949423928</v>
      </c>
      <c r="DO39" s="99">
        <f t="shared" ca="1" si="72"/>
        <v>1443627.9688244339</v>
      </c>
      <c r="DP39" s="99">
        <f t="shared" ca="1" si="72"/>
        <v>1459658.1223488373</v>
      </c>
      <c r="DQ39" s="99">
        <f t="shared" ref="DQ39:DT39" ca="1" si="75">DQ37+DQ38</f>
        <v>1576862.9838387195</v>
      </c>
      <c r="DR39" s="99">
        <f t="shared" ca="1" si="75"/>
        <v>1637451.9812951982</v>
      </c>
      <c r="DS39" s="99">
        <f t="shared" ca="1" si="75"/>
        <v>1688229.2453802591</v>
      </c>
      <c r="DT39" s="99">
        <f t="shared" ca="1" si="75"/>
        <v>1709384.5210612994</v>
      </c>
      <c r="DU39" s="99">
        <f t="shared" ref="DU39:DX39" ca="1" si="76">DU37+DU38</f>
        <v>1838974.1570620283</v>
      </c>
      <c r="DV39" s="99">
        <f t="shared" ca="1" si="76"/>
        <v>1905570.3624208688</v>
      </c>
      <c r="DW39" s="99">
        <f t="shared" ca="1" si="76"/>
        <v>1954409.5859537954</v>
      </c>
      <c r="DX39" s="99">
        <f t="shared" ca="1" si="76"/>
        <v>1983730.9296077138</v>
      </c>
    </row>
    <row r="40" spans="1:128" s="33" customFormat="1" ht="10.199999999999999">
      <c r="A40" s="102" t="s">
        <v>36</v>
      </c>
      <c r="B40" s="97"/>
      <c r="C40" s="97"/>
      <c r="D40" s="97"/>
      <c r="E40" s="97"/>
      <c r="F40" s="97"/>
      <c r="G40" s="97"/>
      <c r="H40" s="105"/>
      <c r="I40" s="105"/>
      <c r="J40" s="105"/>
      <c r="K40" s="105"/>
      <c r="L40" s="105"/>
      <c r="M40" s="105"/>
      <c r="N40" s="105">
        <f>SUM(BY40:CB40)</f>
        <v>0</v>
      </c>
      <c r="O40" s="105">
        <f>SUM(CC40:CF40)</f>
        <v>0</v>
      </c>
      <c r="P40" s="105">
        <f>SUM(CG40:CJ40)</f>
        <v>0</v>
      </c>
      <c r="Q40" s="104">
        <f>SUM(CK40:CN40)</f>
        <v>-5.8207660913467407E-10</v>
      </c>
      <c r="R40" s="104">
        <f>SUM(CO40:CR40)</f>
        <v>0</v>
      </c>
      <c r="S40" s="104">
        <f>SUM(CS40:CV40)</f>
        <v>-34680</v>
      </c>
      <c r="T40" s="598">
        <f>SUM(CW40:CZ40)</f>
        <v>20530</v>
      </c>
      <c r="U40" s="103">
        <f>SUM(DA40:DD40)</f>
        <v>0</v>
      </c>
      <c r="V40" s="103">
        <f>SUM(DE40:DH40)</f>
        <v>0</v>
      </c>
      <c r="W40" s="103">
        <f>SUM(DI40:DL40)</f>
        <v>0</v>
      </c>
      <c r="X40" s="103">
        <f>SUM(DM40:DP40)</f>
        <v>0</v>
      </c>
      <c r="Y40" s="103">
        <f>SUM(DQ40:DT40)</f>
        <v>0</v>
      </c>
      <c r="Z40" s="103">
        <f>SUM(DU40:DX40)</f>
        <v>0</v>
      </c>
      <c r="AA40" s="97"/>
      <c r="AB40" s="102" t="str">
        <f t="shared" si="0"/>
        <v>Extraordinary result</v>
      </c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7"/>
      <c r="BS40" s="97"/>
      <c r="BT40" s="97"/>
      <c r="BU40" s="97"/>
      <c r="BV40" s="97"/>
      <c r="BW40" s="97"/>
      <c r="BX40" s="97"/>
      <c r="BY40" s="82">
        <f t="shared" ref="BY40:CQ40" si="77">+BY41-BY39</f>
        <v>0</v>
      </c>
      <c r="BZ40" s="82">
        <f t="shared" si="77"/>
        <v>0</v>
      </c>
      <c r="CA40" s="82">
        <f t="shared" si="77"/>
        <v>0</v>
      </c>
      <c r="CB40" s="82">
        <f t="shared" si="77"/>
        <v>0</v>
      </c>
      <c r="CC40" s="82">
        <f t="shared" si="77"/>
        <v>0</v>
      </c>
      <c r="CD40" s="82">
        <f t="shared" si="77"/>
        <v>0</v>
      </c>
      <c r="CE40" s="82">
        <f t="shared" si="77"/>
        <v>0</v>
      </c>
      <c r="CF40" s="82">
        <f t="shared" si="77"/>
        <v>0</v>
      </c>
      <c r="CG40" s="82">
        <f t="shared" si="77"/>
        <v>0</v>
      </c>
      <c r="CH40" s="82">
        <f t="shared" si="77"/>
        <v>0</v>
      </c>
      <c r="CI40" s="82">
        <f t="shared" si="77"/>
        <v>0</v>
      </c>
      <c r="CJ40" s="82">
        <f t="shared" si="77"/>
        <v>0</v>
      </c>
      <c r="CK40" s="82">
        <f t="shared" si="77"/>
        <v>0</v>
      </c>
      <c r="CL40" s="82">
        <f t="shared" si="77"/>
        <v>0</v>
      </c>
      <c r="CM40" s="82">
        <f t="shared" si="77"/>
        <v>0</v>
      </c>
      <c r="CN40" s="82">
        <f t="shared" si="77"/>
        <v>-5.8207660913467407E-10</v>
      </c>
      <c r="CO40" s="82">
        <f t="shared" si="77"/>
        <v>0</v>
      </c>
      <c r="CP40" s="82">
        <f t="shared" si="77"/>
        <v>0</v>
      </c>
      <c r="CQ40" s="82">
        <f t="shared" si="77"/>
        <v>0</v>
      </c>
      <c r="CR40" s="82">
        <f>+CR41-CR39</f>
        <v>0</v>
      </c>
      <c r="CS40" s="82">
        <v>59020</v>
      </c>
      <c r="CT40" s="82">
        <v>0</v>
      </c>
      <c r="CU40" s="82">
        <v>0</v>
      </c>
      <c r="CV40" s="82">
        <v>-93700</v>
      </c>
      <c r="CW40" s="402"/>
      <c r="CX40" s="402"/>
      <c r="CY40" s="402">
        <v>58963</v>
      </c>
      <c r="CZ40" s="94">
        <v>-38433</v>
      </c>
      <c r="DA40" s="90">
        <v>0</v>
      </c>
      <c r="DB40" s="90">
        <v>0</v>
      </c>
      <c r="DC40" s="90">
        <v>0</v>
      </c>
      <c r="DD40" s="90">
        <v>0</v>
      </c>
      <c r="DE40" s="90">
        <v>0</v>
      </c>
      <c r="DF40" s="90">
        <v>0</v>
      </c>
      <c r="DG40" s="90">
        <v>0</v>
      </c>
      <c r="DH40" s="90">
        <v>0</v>
      </c>
      <c r="DI40" s="90">
        <v>0</v>
      </c>
      <c r="DJ40" s="90">
        <v>0</v>
      </c>
      <c r="DK40" s="90">
        <v>0</v>
      </c>
      <c r="DL40" s="90">
        <v>0</v>
      </c>
      <c r="DM40" s="90">
        <v>0</v>
      </c>
      <c r="DN40" s="90">
        <v>0</v>
      </c>
      <c r="DO40" s="90">
        <v>0</v>
      </c>
      <c r="DP40" s="90">
        <v>0</v>
      </c>
      <c r="DQ40" s="90">
        <v>0</v>
      </c>
      <c r="DR40" s="90">
        <v>0</v>
      </c>
      <c r="DS40" s="90">
        <v>0</v>
      </c>
      <c r="DT40" s="90">
        <v>0</v>
      </c>
      <c r="DU40" s="90">
        <v>0</v>
      </c>
      <c r="DV40" s="90">
        <v>0</v>
      </c>
      <c r="DW40" s="90">
        <v>0</v>
      </c>
      <c r="DX40" s="90">
        <v>0</v>
      </c>
    </row>
    <row r="41" spans="1:128" s="33" customFormat="1" ht="10.199999999999999">
      <c r="A41" s="98" t="s">
        <v>35</v>
      </c>
      <c r="B41" s="97"/>
      <c r="C41" s="97"/>
      <c r="D41" s="97"/>
      <c r="E41" s="97"/>
      <c r="F41" s="97"/>
      <c r="G41" s="97"/>
      <c r="H41" s="101"/>
      <c r="I41" s="101"/>
      <c r="J41" s="101"/>
      <c r="K41" s="101"/>
      <c r="L41" s="101"/>
      <c r="M41" s="101"/>
      <c r="N41" s="101">
        <f t="shared" ref="N41:X41" si="78">N39+N40</f>
        <v>1409354.1872319255</v>
      </c>
      <c r="O41" s="101">
        <f t="shared" si="78"/>
        <v>1613777.8413890789</v>
      </c>
      <c r="P41" s="101">
        <f t="shared" si="78"/>
        <v>1972582.6017561969</v>
      </c>
      <c r="Q41" s="100">
        <f t="shared" si="78"/>
        <v>2080041.8703588215</v>
      </c>
      <c r="R41" s="100">
        <f t="shared" si="78"/>
        <v>1538708.6915301159</v>
      </c>
      <c r="S41" s="100">
        <f t="shared" si="78"/>
        <v>2387853.9500000002</v>
      </c>
      <c r="T41" s="117">
        <f t="shared" si="78"/>
        <v>3092306.9999999995</v>
      </c>
      <c r="U41" s="99">
        <f t="shared" ca="1" si="78"/>
        <v>3518388.1172455726</v>
      </c>
      <c r="V41" s="99">
        <f t="shared" ca="1" si="78"/>
        <v>4171808.079932835</v>
      </c>
      <c r="W41" s="99">
        <f t="shared" ca="1" si="78"/>
        <v>4951808.4315102492</v>
      </c>
      <c r="X41" s="99">
        <f t="shared" ca="1" si="78"/>
        <v>5696398.2798170354</v>
      </c>
      <c r="Y41" s="99">
        <f t="shared" ref="Y41:Z41" ca="1" si="79">Y39+Y40</f>
        <v>6611928.7315754816</v>
      </c>
      <c r="Z41" s="99">
        <f t="shared" ca="1" si="79"/>
        <v>7682685.0350444056</v>
      </c>
      <c r="AA41" s="97"/>
      <c r="AB41" s="98" t="str">
        <f t="shared" si="0"/>
        <v>Reported net income</v>
      </c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  <c r="BU41" s="97"/>
      <c r="BV41" s="97"/>
      <c r="BW41" s="97"/>
      <c r="BX41" s="97"/>
      <c r="BY41" s="96">
        <v>353416.59972930001</v>
      </c>
      <c r="BZ41" s="96">
        <v>345480.05214263976</v>
      </c>
      <c r="CA41" s="96">
        <v>356971.92844908428</v>
      </c>
      <c r="CB41" s="96">
        <v>353485.60691090219</v>
      </c>
      <c r="CC41" s="96">
        <v>352814.26710213022</v>
      </c>
      <c r="CD41" s="96">
        <v>459955.16827229923</v>
      </c>
      <c r="CE41" s="96">
        <v>437587.93769493047</v>
      </c>
      <c r="CF41" s="96">
        <v>363420.46831972001</v>
      </c>
      <c r="CG41" s="96">
        <v>487329.43933029944</v>
      </c>
      <c r="CH41" s="96">
        <v>482968.91350855917</v>
      </c>
      <c r="CI41" s="96">
        <v>468254.69580225175</v>
      </c>
      <c r="CJ41" s="96">
        <v>534029.55311508779</v>
      </c>
      <c r="CK41" s="96">
        <v>506469.59884169977</v>
      </c>
      <c r="CL41" s="96">
        <v>464067.06426657154</v>
      </c>
      <c r="CM41" s="96">
        <v>594812.78565324959</v>
      </c>
      <c r="CN41" s="96">
        <v>514692.42159729864</v>
      </c>
      <c r="CO41" s="96">
        <v>469186.11656836991</v>
      </c>
      <c r="CP41" s="96">
        <v>146099.63357025021</v>
      </c>
      <c r="CQ41" s="96">
        <v>501049.18570676458</v>
      </c>
      <c r="CR41" s="96">
        <v>422373.75568473223</v>
      </c>
      <c r="CS41" s="96">
        <f t="shared" ref="CS41:DP41" si="80">CS39+CS40</f>
        <v>662124.94999999995</v>
      </c>
      <c r="CT41" s="96">
        <f t="shared" si="80"/>
        <v>584686</v>
      </c>
      <c r="CU41" s="96">
        <f t="shared" ref="CU41:CV41" si="81">CU39+CU40</f>
        <v>645435</v>
      </c>
      <c r="CV41" s="96">
        <f t="shared" si="81"/>
        <v>495608</v>
      </c>
      <c r="CW41" s="96">
        <f t="shared" ref="CW41:CZ41" si="82">CW39+CW40</f>
        <v>804735</v>
      </c>
      <c r="CX41" s="320">
        <f t="shared" si="82"/>
        <v>749295</v>
      </c>
      <c r="CY41" s="320">
        <f t="shared" si="82"/>
        <v>807145</v>
      </c>
      <c r="CZ41" s="320">
        <f t="shared" si="82"/>
        <v>731132</v>
      </c>
      <c r="DA41" s="95">
        <f t="shared" ca="1" si="80"/>
        <v>823516.53021026065</v>
      </c>
      <c r="DB41" s="95">
        <f t="shared" ca="1" si="80"/>
        <v>851438.16173904995</v>
      </c>
      <c r="DC41" s="95">
        <f t="shared" ca="1" si="80"/>
        <v>908632.72239204962</v>
      </c>
      <c r="DD41" s="95">
        <f t="shared" ca="1" si="80"/>
        <v>934800.70290421299</v>
      </c>
      <c r="DE41" s="95">
        <f t="shared" ca="1" si="80"/>
        <v>1003438.6359732901</v>
      </c>
      <c r="DF41" s="95">
        <f t="shared" ca="1" si="80"/>
        <v>1035408.0371477728</v>
      </c>
      <c r="DG41" s="95">
        <f t="shared" ca="1" si="80"/>
        <v>1057476.4734640308</v>
      </c>
      <c r="DH41" s="95">
        <f t="shared" ca="1" si="80"/>
        <v>1075484.9333477386</v>
      </c>
      <c r="DI41" s="95">
        <f t="shared" ca="1" si="80"/>
        <v>1161168.5519376479</v>
      </c>
      <c r="DJ41" s="95">
        <f t="shared" ca="1" si="80"/>
        <v>1221895.5293667978</v>
      </c>
      <c r="DK41" s="95">
        <f t="shared" ca="1" si="80"/>
        <v>1266306.117936254</v>
      </c>
      <c r="DL41" s="95">
        <f t="shared" ca="1" si="80"/>
        <v>1302438.2322695493</v>
      </c>
      <c r="DM41" s="95">
        <f t="shared" ca="1" si="80"/>
        <v>1381694.5937013715</v>
      </c>
      <c r="DN41" s="95">
        <f t="shared" ca="1" si="80"/>
        <v>1411417.5949423928</v>
      </c>
      <c r="DO41" s="95">
        <f t="shared" ca="1" si="80"/>
        <v>1443627.9688244339</v>
      </c>
      <c r="DP41" s="95">
        <f t="shared" ca="1" si="80"/>
        <v>1459658.1223488373</v>
      </c>
      <c r="DQ41" s="95">
        <f t="shared" ref="DQ41:DT41" ca="1" si="83">DQ39+DQ40</f>
        <v>1576862.9838387195</v>
      </c>
      <c r="DR41" s="95">
        <f t="shared" ca="1" si="83"/>
        <v>1637451.9812951982</v>
      </c>
      <c r="DS41" s="95">
        <f t="shared" ca="1" si="83"/>
        <v>1688229.2453802591</v>
      </c>
      <c r="DT41" s="95">
        <f t="shared" ca="1" si="83"/>
        <v>1709384.5210612994</v>
      </c>
      <c r="DU41" s="95">
        <f t="shared" ref="DU41:DX41" ca="1" si="84">DU39+DU40</f>
        <v>1838974.1570620283</v>
      </c>
      <c r="DV41" s="95">
        <f t="shared" ca="1" si="84"/>
        <v>1905570.3624208688</v>
      </c>
      <c r="DW41" s="95">
        <f t="shared" ca="1" si="84"/>
        <v>1954409.5859537954</v>
      </c>
      <c r="DX41" s="95">
        <f t="shared" ca="1" si="84"/>
        <v>1983730.9296077138</v>
      </c>
    </row>
    <row r="42" spans="1:128" s="33" customFormat="1" ht="10.199999999999999">
      <c r="O42" s="35"/>
      <c r="P42" s="35"/>
      <c r="Q42" s="35"/>
      <c r="R42" s="35"/>
      <c r="S42" s="35"/>
      <c r="T42" s="561"/>
      <c r="U42" s="35"/>
      <c r="V42" s="35"/>
      <c r="W42" s="35"/>
      <c r="X42" s="35"/>
      <c r="Y42" s="35"/>
      <c r="Z42" s="35"/>
      <c r="BY42" s="562"/>
      <c r="BZ42" s="562"/>
      <c r="CA42" s="562"/>
      <c r="CB42" s="562"/>
      <c r="CC42" s="562"/>
      <c r="CD42" s="562"/>
      <c r="CE42" s="562"/>
      <c r="CF42" s="562"/>
      <c r="CG42" s="562"/>
      <c r="CH42" s="562"/>
      <c r="CI42" s="562"/>
      <c r="CJ42" s="562"/>
      <c r="CK42" s="562"/>
      <c r="CL42" s="562"/>
      <c r="CM42" s="562"/>
      <c r="CN42" s="562"/>
      <c r="CO42" s="562"/>
      <c r="CP42" s="562"/>
      <c r="CQ42" s="562"/>
      <c r="CR42" s="562"/>
      <c r="CS42" s="553"/>
      <c r="CT42" s="553"/>
      <c r="CU42" s="553"/>
      <c r="CV42" s="553"/>
      <c r="CW42" s="553"/>
      <c r="CX42" s="553"/>
      <c r="CY42" s="553"/>
      <c r="CZ42" s="389"/>
      <c r="DA42" s="553"/>
      <c r="DB42" s="553"/>
      <c r="DC42" s="553"/>
      <c r="DD42" s="553"/>
      <c r="DE42" s="553"/>
      <c r="DF42" s="553"/>
      <c r="DG42" s="553"/>
      <c r="DH42" s="553"/>
      <c r="DI42" s="553"/>
      <c r="DJ42" s="553"/>
      <c r="DK42" s="553"/>
      <c r="DL42" s="553"/>
      <c r="DM42" s="553"/>
      <c r="DN42" s="553"/>
      <c r="DO42" s="553"/>
      <c r="DP42" s="553"/>
      <c r="DQ42" s="553"/>
      <c r="DR42" s="553"/>
      <c r="DS42" s="553"/>
      <c r="DT42" s="553"/>
      <c r="DU42" s="553"/>
      <c r="DV42" s="553"/>
      <c r="DW42" s="553"/>
      <c r="DX42" s="553"/>
    </row>
    <row r="43" spans="1:128" s="33" customFormat="1" ht="10.199999999999999">
      <c r="A43" s="89" t="s">
        <v>34</v>
      </c>
      <c r="H43" s="88"/>
      <c r="I43" s="88"/>
      <c r="J43" s="88"/>
      <c r="K43" s="88"/>
      <c r="L43" s="88"/>
      <c r="M43" s="88"/>
      <c r="N43" s="563">
        <f ca="1">SUM(BY43:CB43)</f>
        <v>369090.70353033417</v>
      </c>
      <c r="O43" s="563">
        <f>SUM(CC43:CF43)</f>
        <v>384267.72799999994</v>
      </c>
      <c r="P43" s="563">
        <f>SUM(CG43:CJ43)</f>
        <v>436033.962</v>
      </c>
      <c r="Q43" s="564">
        <f>SUM(CK43:CN43)</f>
        <v>492007.53599999996</v>
      </c>
      <c r="R43" s="564">
        <f>SUM(CO43:CR43)</f>
        <v>532956.32000000007</v>
      </c>
      <c r="S43" s="564">
        <f ca="1">SUM(CS43:CV43)</f>
        <v>424861.18119999999</v>
      </c>
      <c r="T43" s="600">
        <f ca="1">SUM(CW43:CZ43)</f>
        <v>530006.58782400005</v>
      </c>
      <c r="U43" s="565">
        <f ca="1">SUM(DA43:DD43)</f>
        <v>773076.75</v>
      </c>
      <c r="V43" s="565">
        <f ca="1">SUM(DE43:DH43)</f>
        <v>879597.02931139339</v>
      </c>
      <c r="W43" s="565">
        <f ca="1">SUM(DI43:DL43)</f>
        <v>1042952.019983208</v>
      </c>
      <c r="X43" s="565">
        <f ca="1">SUM(DM43:DP43)</f>
        <v>1237952.1078775623</v>
      </c>
      <c r="Y43" s="565">
        <f ca="1">SUM(DQ43:DT43)</f>
        <v>1424099.5699542589</v>
      </c>
      <c r="Z43" s="565">
        <f ca="1">SUM(DU43:DX43)</f>
        <v>1652982.1828938692</v>
      </c>
      <c r="AB43" s="89" t="s">
        <v>34</v>
      </c>
      <c r="BY43" s="82">
        <f>(141573.5/94382*BY44)*(Assumptions!BY$15)</f>
        <v>369090.70353033417</v>
      </c>
      <c r="BZ43" s="82">
        <f ca="1">(BZ41*Assumptions!BZ48)*(Assumptions!BZ$15)</f>
        <v>0</v>
      </c>
      <c r="CA43" s="82">
        <f ca="1">(CA41*Assumptions!CA48)*(Assumptions!CA$15)</f>
        <v>0</v>
      </c>
      <c r="CB43" s="82">
        <f ca="1">(CB41*Assumptions!CB48)*(Assumptions!CB$15)</f>
        <v>0</v>
      </c>
      <c r="CC43" s="82">
        <f>(1.7*CC44)*(Assumptions!CC$15)</f>
        <v>384267.72799999994</v>
      </c>
      <c r="CD43" s="82">
        <f>0*(Assumptions!CD$15)</f>
        <v>0</v>
      </c>
      <c r="CE43" s="82">
        <f>0*(Assumptions!CE$15)</f>
        <v>0</v>
      </c>
      <c r="CF43" s="82">
        <f>0*(Assumptions!CF$15)</f>
        <v>0</v>
      </c>
      <c r="CG43" s="82">
        <f>(1.95*CG44)*(Assumptions!CG$15)</f>
        <v>436033.962</v>
      </c>
      <c r="CH43" s="82">
        <f>0*(Assumptions!CH$15)</f>
        <v>0</v>
      </c>
      <c r="CI43" s="82">
        <f>0*(Assumptions!CI$15)</f>
        <v>0</v>
      </c>
      <c r="CJ43" s="82">
        <f>0*(Assumptions!CJ$15)</f>
        <v>0</v>
      </c>
      <c r="CK43" s="82">
        <f>(2.3*CK44)*(Assumptions!CK$15)</f>
        <v>492007.53599999996</v>
      </c>
      <c r="CL43" s="82">
        <f>0*(Assumptions!CL$15)</f>
        <v>0</v>
      </c>
      <c r="CM43" s="82">
        <f>0*(Assumptions!CM$15)</f>
        <v>0</v>
      </c>
      <c r="CN43" s="319">
        <f>0*(Assumptions!CN$15)</f>
        <v>0</v>
      </c>
      <c r="CO43" s="319">
        <f>(2.6*CO44)*(Assumptions!CO$15)</f>
        <v>532956.32000000007</v>
      </c>
      <c r="CP43" s="319">
        <f>0*(Assumptions!CP$15)</f>
        <v>0</v>
      </c>
      <c r="CQ43" s="319">
        <f>0*(Assumptions!CQ$15)</f>
        <v>0</v>
      </c>
      <c r="CR43" s="319">
        <f>0*(Assumptions!CR$15)</f>
        <v>0</v>
      </c>
      <c r="CS43" s="319">
        <f>(1.9*CS44)*(Assumptions!CS$15)</f>
        <v>424861.18119999999</v>
      </c>
      <c r="CT43" s="319">
        <f ca="1">CT41*Assumptions!CT48</f>
        <v>0</v>
      </c>
      <c r="CU43" s="319">
        <f ca="1">CU41*Assumptions!CU48</f>
        <v>0</v>
      </c>
      <c r="CV43" s="319">
        <f ca="1">CV41*Assumptions!CV48</f>
        <v>0</v>
      </c>
      <c r="CW43" s="319">
        <f>(2.1873*CW44)*(Assumptions!CW$15)</f>
        <v>530006.58782400005</v>
      </c>
      <c r="CX43" s="94">
        <f ca="1">0*Assumptions!CX48</f>
        <v>0</v>
      </c>
      <c r="CY43" s="94">
        <f ca="1">0*Assumptions!CY48</f>
        <v>0</v>
      </c>
      <c r="CZ43" s="94">
        <f ca="1">CZ41*Assumptions!CZ48</f>
        <v>0</v>
      </c>
      <c r="DA43" s="90">
        <f ca="1">DA41*Assumptions!DA48</f>
        <v>773076.75</v>
      </c>
      <c r="DB43" s="90">
        <f ca="1">DB41*Assumptions!DB48</f>
        <v>0</v>
      </c>
      <c r="DC43" s="90">
        <f ca="1">DC41*Assumptions!DC48</f>
        <v>0</v>
      </c>
      <c r="DD43" s="90">
        <f ca="1">DD41*Assumptions!DD48</f>
        <v>0</v>
      </c>
      <c r="DE43" s="90">
        <f ca="1">DE41*Assumptions!DE48</f>
        <v>879597.02931139339</v>
      </c>
      <c r="DF43" s="90">
        <f ca="1">DF41*Assumptions!DF48</f>
        <v>0</v>
      </c>
      <c r="DG43" s="90">
        <f ca="1">DG41*Assumptions!DG48</f>
        <v>0</v>
      </c>
      <c r="DH43" s="90">
        <f ca="1">DH41*Assumptions!DH48</f>
        <v>0</v>
      </c>
      <c r="DI43" s="90">
        <f ca="1">DI41*Assumptions!DI48</f>
        <v>1042952.019983208</v>
      </c>
      <c r="DJ43" s="90">
        <f ca="1">DJ41*Assumptions!DJ48</f>
        <v>0</v>
      </c>
      <c r="DK43" s="90">
        <f ca="1">DK41*Assumptions!DK48</f>
        <v>0</v>
      </c>
      <c r="DL43" s="90">
        <f ca="1">DL41*Assumptions!DL48</f>
        <v>0</v>
      </c>
      <c r="DM43" s="90">
        <f ca="1">DM41*Assumptions!DM48</f>
        <v>1237952.1078775623</v>
      </c>
      <c r="DN43" s="90">
        <f ca="1">DN41*Assumptions!DN48</f>
        <v>0</v>
      </c>
      <c r="DO43" s="90">
        <f ca="1">DO41*Assumptions!DO48</f>
        <v>0</v>
      </c>
      <c r="DP43" s="90">
        <f ca="1">DP41*Assumptions!DP48</f>
        <v>0</v>
      </c>
      <c r="DQ43" s="90">
        <f ca="1">DQ41*Assumptions!DQ48</f>
        <v>1424099.5699542589</v>
      </c>
      <c r="DR43" s="90">
        <f ca="1">DR41*Assumptions!DR48</f>
        <v>0</v>
      </c>
      <c r="DS43" s="90">
        <f ca="1">DS41*Assumptions!DS48</f>
        <v>0</v>
      </c>
      <c r="DT43" s="90">
        <f ca="1">DT41*Assumptions!DT48</f>
        <v>0</v>
      </c>
      <c r="DU43" s="90">
        <f ca="1">DU41*Assumptions!DU48</f>
        <v>1652982.1828938692</v>
      </c>
      <c r="DV43" s="90">
        <f ca="1">DV41*Assumptions!DV48</f>
        <v>0</v>
      </c>
      <c r="DW43" s="90">
        <f ca="1">DW41*Assumptions!DW48</f>
        <v>0</v>
      </c>
      <c r="DX43" s="90">
        <f ca="1">DX41*Assumptions!DX48</f>
        <v>0</v>
      </c>
    </row>
    <row r="44" spans="1:128" s="33" customFormat="1" ht="10.199999999999999">
      <c r="A44" s="89" t="s">
        <v>33</v>
      </c>
      <c r="H44" s="88"/>
      <c r="I44" s="88"/>
      <c r="J44" s="88"/>
      <c r="K44" s="88"/>
      <c r="L44" s="88"/>
      <c r="M44" s="88"/>
      <c r="N44" s="88">
        <f>CB44</f>
        <v>79760</v>
      </c>
      <c r="O44" s="88">
        <f>CF44</f>
        <v>79760</v>
      </c>
      <c r="P44" s="88">
        <f>CJ44</f>
        <v>79760</v>
      </c>
      <c r="Q44" s="87">
        <f>CN44</f>
        <v>79760</v>
      </c>
      <c r="R44" s="87">
        <f>CR44</f>
        <v>79760</v>
      </c>
      <c r="S44" s="87">
        <f>CV44</f>
        <v>79760</v>
      </c>
      <c r="T44" s="601">
        <f>CZ44</f>
        <v>79760</v>
      </c>
      <c r="U44" s="86">
        <f ca="1">DD44</f>
        <v>79760</v>
      </c>
      <c r="V44" s="86">
        <f ca="1">DH44</f>
        <v>79760</v>
      </c>
      <c r="W44" s="86">
        <f ca="1">DL44</f>
        <v>79760</v>
      </c>
      <c r="X44" s="86">
        <f ca="1">DP44</f>
        <v>79760</v>
      </c>
      <c r="Y44" s="86">
        <f ca="1">DT44</f>
        <v>79760</v>
      </c>
      <c r="Z44" s="86">
        <f ca="1">DX44</f>
        <v>79760</v>
      </c>
      <c r="AB44" s="89" t="s">
        <v>33</v>
      </c>
      <c r="BY44" s="85">
        <v>79760</v>
      </c>
      <c r="BZ44" s="85">
        <v>79760</v>
      </c>
      <c r="CA44" s="85">
        <v>79760</v>
      </c>
      <c r="CB44" s="85">
        <v>79760</v>
      </c>
      <c r="CC44" s="85">
        <v>79760</v>
      </c>
      <c r="CD44" s="85">
        <v>79760</v>
      </c>
      <c r="CE44" s="85">
        <f>'Balance Sheet'!CE109</f>
        <v>79760</v>
      </c>
      <c r="CF44" s="85">
        <f>'Balance Sheet'!CF109</f>
        <v>79760</v>
      </c>
      <c r="CG44" s="85">
        <v>79760</v>
      </c>
      <c r="CH44" s="85">
        <v>79760</v>
      </c>
      <c r="CI44" s="85">
        <v>79760</v>
      </c>
      <c r="CJ44" s="85">
        <v>79760</v>
      </c>
      <c r="CK44" s="85">
        <v>79760</v>
      </c>
      <c r="CL44" s="85">
        <v>79760</v>
      </c>
      <c r="CM44" s="85">
        <v>79760</v>
      </c>
      <c r="CN44" s="84">
        <v>79760</v>
      </c>
      <c r="CO44" s="84">
        <v>79760</v>
      </c>
      <c r="CP44" s="84">
        <v>79760</v>
      </c>
      <c r="CQ44" s="84">
        <v>79760</v>
      </c>
      <c r="CR44" s="84">
        <v>79760</v>
      </c>
      <c r="CS44" s="84">
        <v>79760</v>
      </c>
      <c r="CT44" s="84">
        <v>79760</v>
      </c>
      <c r="CU44" s="84">
        <v>79760</v>
      </c>
      <c r="CV44" s="84">
        <v>79760</v>
      </c>
      <c r="CW44" s="84">
        <v>79760</v>
      </c>
      <c r="CX44" s="84">
        <v>79760</v>
      </c>
      <c r="CY44" s="84">
        <v>79760</v>
      </c>
      <c r="CZ44" s="84">
        <v>79760</v>
      </c>
      <c r="DA44" s="83">
        <f ca="1">'Balance Sheet'!DA109</f>
        <v>79760</v>
      </c>
      <c r="DB44" s="83">
        <f ca="1">'Balance Sheet'!DB109</f>
        <v>79760</v>
      </c>
      <c r="DC44" s="83">
        <f ca="1">'Balance Sheet'!DC109</f>
        <v>79760</v>
      </c>
      <c r="DD44" s="83">
        <f ca="1">'Balance Sheet'!DD109</f>
        <v>79760</v>
      </c>
      <c r="DE44" s="83">
        <f ca="1">'Balance Sheet'!DE109</f>
        <v>79760</v>
      </c>
      <c r="DF44" s="83">
        <f ca="1">'Balance Sheet'!DF109</f>
        <v>79760</v>
      </c>
      <c r="DG44" s="83">
        <f ca="1">'Balance Sheet'!DG109</f>
        <v>79760</v>
      </c>
      <c r="DH44" s="83">
        <f ca="1">'Balance Sheet'!DH109</f>
        <v>79760</v>
      </c>
      <c r="DI44" s="83">
        <f ca="1">'Balance Sheet'!DI109</f>
        <v>79760</v>
      </c>
      <c r="DJ44" s="83">
        <f ca="1">'Balance Sheet'!DJ109</f>
        <v>79760</v>
      </c>
      <c r="DK44" s="83">
        <f ca="1">'Balance Sheet'!DK109</f>
        <v>79760</v>
      </c>
      <c r="DL44" s="83">
        <f ca="1">'Balance Sheet'!DL109</f>
        <v>79760</v>
      </c>
      <c r="DM44" s="83">
        <f ca="1">'Balance Sheet'!DM109</f>
        <v>79760</v>
      </c>
      <c r="DN44" s="83">
        <f ca="1">'Balance Sheet'!DN109</f>
        <v>79760</v>
      </c>
      <c r="DO44" s="83">
        <f ca="1">'Balance Sheet'!DO109</f>
        <v>79760</v>
      </c>
      <c r="DP44" s="83">
        <f ca="1">'Balance Sheet'!DP109</f>
        <v>79760</v>
      </c>
      <c r="DQ44" s="83">
        <f ca="1">'Balance Sheet'!DQ109</f>
        <v>79760</v>
      </c>
      <c r="DR44" s="83">
        <f ca="1">'Balance Sheet'!DR109</f>
        <v>79760</v>
      </c>
      <c r="DS44" s="83">
        <f ca="1">'Balance Sheet'!DS109</f>
        <v>79760</v>
      </c>
      <c r="DT44" s="83">
        <f ca="1">'Balance Sheet'!DT109</f>
        <v>79760</v>
      </c>
      <c r="DU44" s="83">
        <f ca="1">'Balance Sheet'!DU109</f>
        <v>79760</v>
      </c>
      <c r="DV44" s="83">
        <f ca="1">'Balance Sheet'!DV109</f>
        <v>79760</v>
      </c>
      <c r="DW44" s="83">
        <f ca="1">'Balance Sheet'!DW109</f>
        <v>79760</v>
      </c>
      <c r="DX44" s="83">
        <f ca="1">'Balance Sheet'!DX109</f>
        <v>79760</v>
      </c>
    </row>
    <row r="45" spans="1:128" s="33" customFormat="1" ht="10.199999999999999">
      <c r="A45" s="89" t="s">
        <v>32</v>
      </c>
      <c r="H45" s="88"/>
      <c r="I45" s="88"/>
      <c r="J45" s="88"/>
      <c r="K45" s="88"/>
      <c r="L45" s="88"/>
      <c r="M45" s="88"/>
      <c r="N45" s="88">
        <f>SUM(BY45:CB45)</f>
        <v>17.66993715185464</v>
      </c>
      <c r="O45" s="88">
        <f>SUM(CC45:CF45)</f>
        <v>20.232921782711635</v>
      </c>
      <c r="P45" s="88">
        <f>SUM(CG45:CJ45)</f>
        <v>24.731476952810912</v>
      </c>
      <c r="Q45" s="87">
        <f>SUM(CK45:CN45)</f>
        <v>26.078759658460633</v>
      </c>
      <c r="R45" s="87">
        <f>SUM(CO45:CR45)</f>
        <v>19.291733845663451</v>
      </c>
      <c r="S45" s="87">
        <f>SUM(CS45:CV45)</f>
        <v>30.372792753259777</v>
      </c>
      <c r="T45" s="601">
        <f>SUM(CW45:CZ45)</f>
        <v>38.512750752256764</v>
      </c>
      <c r="U45" s="86">
        <f ca="1">SUM(DA45:DD45)</f>
        <v>44.11218802965864</v>
      </c>
      <c r="V45" s="86">
        <f ca="1">SUM(DE45:DH45)</f>
        <v>52.304514542788766</v>
      </c>
      <c r="W45" s="86">
        <f ca="1">SUM(DI45:DL45)</f>
        <v>62.08385696477243</v>
      </c>
      <c r="X45" s="86">
        <f ca="1">SUM(DM45:DP45)</f>
        <v>71.419236206331945</v>
      </c>
      <c r="Y45" s="86">
        <f ca="1">SUM(DQ45:DT45)</f>
        <v>82.897802552350512</v>
      </c>
      <c r="Z45" s="86">
        <f ca="1">SUM(DU45:DX45)</f>
        <v>96.322530529644013</v>
      </c>
      <c r="AB45" s="89" t="s">
        <v>32</v>
      </c>
      <c r="BY45" s="85">
        <f t="shared" ref="BY45:CF45" si="85">BY39/AVERAGE(BX44:BY44)</f>
        <v>4.4310004981105804</v>
      </c>
      <c r="BZ45" s="85">
        <f t="shared" si="85"/>
        <v>4.3314951371945805</v>
      </c>
      <c r="CA45" s="85">
        <f t="shared" si="85"/>
        <v>4.4755758331128934</v>
      </c>
      <c r="CB45" s="85">
        <f t="shared" si="85"/>
        <v>4.4318656834365875</v>
      </c>
      <c r="CC45" s="85">
        <f t="shared" si="85"/>
        <v>4.4234486848311212</v>
      </c>
      <c r="CD45" s="85">
        <f t="shared" si="85"/>
        <v>5.7667398228723572</v>
      </c>
      <c r="CE45" s="85">
        <f t="shared" si="85"/>
        <v>5.4863081456235001</v>
      </c>
      <c r="CF45" s="85">
        <f t="shared" si="85"/>
        <v>4.5564251293846567</v>
      </c>
      <c r="CG45" s="85">
        <f t="shared" ref="CG45:CS45" si="86">CG39/AVERAGE(CF44:CG44)</f>
        <v>6.1099478351341459</v>
      </c>
      <c r="CH45" s="85">
        <f t="shared" si="86"/>
        <v>6.0552772506088157</v>
      </c>
      <c r="CI45" s="85">
        <f t="shared" si="86"/>
        <v>5.8707960857855062</v>
      </c>
      <c r="CJ45" s="85">
        <f t="shared" si="86"/>
        <v>6.6954557812824449</v>
      </c>
      <c r="CK45" s="85">
        <f t="shared" si="86"/>
        <v>6.3499197447555122</v>
      </c>
      <c r="CL45" s="85">
        <f t="shared" si="86"/>
        <v>5.8182931828807867</v>
      </c>
      <c r="CM45" s="85">
        <f t="shared" si="86"/>
        <v>7.4575324179193778</v>
      </c>
      <c r="CN45" s="84">
        <f t="shared" si="86"/>
        <v>6.4530143129049549</v>
      </c>
      <c r="CO45" s="84">
        <f t="shared" si="86"/>
        <v>5.8824738787408464</v>
      </c>
      <c r="CP45" s="84">
        <f t="shared" si="86"/>
        <v>1.8317406415527859</v>
      </c>
      <c r="CQ45" s="84">
        <f t="shared" si="86"/>
        <v>6.2819607034448914</v>
      </c>
      <c r="CR45" s="84">
        <f t="shared" si="86"/>
        <v>5.2955586219249291</v>
      </c>
      <c r="CS45" s="84">
        <f t="shared" si="86"/>
        <v>7.5614963640922763</v>
      </c>
      <c r="CT45" s="84">
        <f t="shared" ref="CT45:CW45" si="87">CT39/AVERAGE(CS44:CT44)</f>
        <v>7.3305667001003005</v>
      </c>
      <c r="CU45" s="84">
        <f t="shared" si="87"/>
        <v>8.0922141424272827</v>
      </c>
      <c r="CV45" s="84">
        <f t="shared" si="87"/>
        <v>7.3885155466399199</v>
      </c>
      <c r="CW45" s="84">
        <f t="shared" si="87"/>
        <v>10.089455867602808</v>
      </c>
      <c r="CX45" s="328">
        <f t="shared" ref="CX45:CZ45" si="88">CX39/AVERAGE(CW44:CX44)</f>
        <v>9.394370611835507</v>
      </c>
      <c r="CY45" s="328">
        <f t="shared" si="88"/>
        <v>9.3804162487462381</v>
      </c>
      <c r="CZ45" s="328">
        <f t="shared" si="88"/>
        <v>9.6485080240722159</v>
      </c>
      <c r="DA45" s="83">
        <f t="shared" ref="DA45" ca="1" si="89">DA39/AVERAGE(CZ44:DA44)</f>
        <v>10.32493142189394</v>
      </c>
      <c r="DB45" s="83">
        <f t="shared" ref="DB45" ca="1" si="90">DB39/AVERAGE(DA44:DB44)</f>
        <v>10.67500202782159</v>
      </c>
      <c r="DC45" s="83">
        <f t="shared" ref="DC45" ca="1" si="91">DC39/AVERAGE(DB44:DC44)</f>
        <v>11.392085285757894</v>
      </c>
      <c r="DD45" s="83">
        <f t="shared" ref="DD45" ca="1" si="92">DD39/AVERAGE(DC44:DD44)</f>
        <v>11.720169294185219</v>
      </c>
      <c r="DE45" s="83">
        <f t="shared" ref="DE45" ca="1" si="93">DE39/AVERAGE(DD44:DE44)</f>
        <v>12.58072512504125</v>
      </c>
      <c r="DF45" s="83">
        <f t="shared" ref="DF45" ca="1" si="94">DF39/AVERAGE(DE44:DF44)</f>
        <v>12.981545099646098</v>
      </c>
      <c r="DG45" s="83">
        <f t="shared" ref="DG45" ca="1" si="95">DG39/AVERAGE(DF44:DG44)</f>
        <v>13.258230610130777</v>
      </c>
      <c r="DH45" s="83">
        <f t="shared" ref="DH45" ca="1" si="96">DH39/AVERAGE(DG44:DH44)</f>
        <v>13.484013707970645</v>
      </c>
      <c r="DI45" s="83">
        <f t="shared" ref="DI45" ca="1" si="97">DI39/AVERAGE(DH44:DI44)</f>
        <v>14.558281744453961</v>
      </c>
      <c r="DJ45" s="83">
        <f t="shared" ref="DJ45" ca="1" si="98">DJ39/AVERAGE(DI44:DJ44)</f>
        <v>15.319653076313914</v>
      </c>
      <c r="DK45" s="83">
        <f t="shared" ref="DK45" ca="1" si="99">DK39/AVERAGE(DJ44:DK44)</f>
        <v>15.87645584172836</v>
      </c>
      <c r="DL45" s="83">
        <f t="shared" ref="DL45" ca="1" si="100">DL39/AVERAGE(DK44:DL44)</f>
        <v>16.329466302276195</v>
      </c>
      <c r="DM45" s="83">
        <f t="shared" ref="DM45" ca="1" si="101">DM39/AVERAGE(DL44:DM44)</f>
        <v>17.323151876897835</v>
      </c>
      <c r="DN45" s="83">
        <f t="shared" ref="DN45" ca="1" si="102">DN39/AVERAGE(DM44:DN44)</f>
        <v>17.695807358856481</v>
      </c>
      <c r="DO45" s="83">
        <f t="shared" ref="DO45" ca="1" si="103">DO39/AVERAGE(DN44:DO44)</f>
        <v>18.099648555973342</v>
      </c>
      <c r="DP45" s="83">
        <f t="shared" ref="DP45" ca="1" si="104">DP39/AVERAGE(DO44:DP44)</f>
        <v>18.300628414604279</v>
      </c>
      <c r="DQ45" s="83">
        <f t="shared" ref="DQ45" ca="1" si="105">DQ39/AVERAGE(DP44:DQ44)</f>
        <v>19.770097590756261</v>
      </c>
      <c r="DR45" s="83">
        <f t="shared" ref="DR45" ca="1" si="106">DR39/AVERAGE(DQ44:DR44)</f>
        <v>20.529738983139396</v>
      </c>
      <c r="DS45" s="83">
        <f t="shared" ref="DS45" ca="1" si="107">DS39/AVERAGE(DR44:DS44)</f>
        <v>21.166364661236951</v>
      </c>
      <c r="DT45" s="83">
        <f t="shared" ref="DT45" ca="1" si="108">DT39/AVERAGE(DS44:DT44)</f>
        <v>21.431601317217897</v>
      </c>
      <c r="DU45" s="83">
        <f t="shared" ref="DU45" ca="1" si="109">DU39/AVERAGE(DT44:DU44)</f>
        <v>23.056346001279191</v>
      </c>
      <c r="DV45" s="83">
        <f t="shared" ref="DV45" ca="1" si="110">DV39/AVERAGE(DU44:DV44)</f>
        <v>23.891303440582607</v>
      </c>
      <c r="DW45" s="83">
        <f t="shared" ref="DW45" ca="1" si="111">DW39/AVERAGE(DV44:DW44)</f>
        <v>24.503630716572157</v>
      </c>
      <c r="DX45" s="83">
        <f t="shared" ref="DX45" ca="1" si="112">DX39/AVERAGE(DW44:DX44)</f>
        <v>24.871250371210053</v>
      </c>
    </row>
    <row r="46" spans="1:128" s="33" customFormat="1" ht="10.199999999999999">
      <c r="A46" s="89" t="s">
        <v>31</v>
      </c>
      <c r="H46" s="88"/>
      <c r="I46" s="88"/>
      <c r="J46" s="88"/>
      <c r="K46" s="88"/>
      <c r="L46" s="88"/>
      <c r="M46" s="88"/>
      <c r="N46" s="88">
        <f ca="1">SUM(BY46:CB46)</f>
        <v>4.6275163431586535</v>
      </c>
      <c r="O46" s="88">
        <f>SUM(CC46:CF46)</f>
        <v>4.8177999999999992</v>
      </c>
      <c r="P46" s="88">
        <f>SUM(CG46:CJ46)</f>
        <v>5.466825</v>
      </c>
      <c r="Q46" s="87">
        <f>SUM(CK46:CN46)</f>
        <v>6.1685999999999996</v>
      </c>
      <c r="R46" s="87">
        <f>SUM(CO46:CR46)</f>
        <v>6.6820000000000004</v>
      </c>
      <c r="S46" s="87">
        <f ca="1">SUM(CS46:CV46)</f>
        <v>5.3267449999999998</v>
      </c>
      <c r="T46" s="601">
        <f ca="1">SUM(CW46:CZ46)</f>
        <v>6.6450174000000004</v>
      </c>
      <c r="U46" s="86">
        <f ca="1">SUM(DA46:DD46)</f>
        <v>9.6925369859578741</v>
      </c>
      <c r="V46" s="86">
        <f ca="1">SUM(DE46:DH46)</f>
        <v>11.028047007414662</v>
      </c>
      <c r="W46" s="86">
        <f ca="1">SUM(DI46:DL46)</f>
        <v>13.076128635697192</v>
      </c>
      <c r="X46" s="86">
        <f ca="1">SUM(DM46:DP46)</f>
        <v>15.520964241193107</v>
      </c>
      <c r="Y46" s="86">
        <f ca="1">SUM(DQ46:DT46)</f>
        <v>17.854809051582986</v>
      </c>
      <c r="Z46" s="86">
        <f ca="1">SUM(DU46:DX46)</f>
        <v>20.724450638087628</v>
      </c>
      <c r="AB46" s="89" t="s">
        <v>31</v>
      </c>
      <c r="BY46" s="85">
        <f t="shared" ref="BY46:CF46" si="113">BY43/AVERAGE(BX44:BY44)</f>
        <v>4.6275163431586535</v>
      </c>
      <c r="BZ46" s="85">
        <f t="shared" ca="1" si="113"/>
        <v>0</v>
      </c>
      <c r="CA46" s="85">
        <f t="shared" ca="1" si="113"/>
        <v>0</v>
      </c>
      <c r="CB46" s="85">
        <f t="shared" ca="1" si="113"/>
        <v>0</v>
      </c>
      <c r="CC46" s="85">
        <f t="shared" si="113"/>
        <v>4.8177999999999992</v>
      </c>
      <c r="CD46" s="85">
        <f t="shared" si="113"/>
        <v>0</v>
      </c>
      <c r="CE46" s="85">
        <f t="shared" si="113"/>
        <v>0</v>
      </c>
      <c r="CF46" s="85">
        <f t="shared" si="113"/>
        <v>0</v>
      </c>
      <c r="CG46" s="85">
        <f t="shared" ref="CG46:CR46" si="114">CG43/AVERAGE(CF44:CG44)</f>
        <v>5.466825</v>
      </c>
      <c r="CH46" s="85">
        <f t="shared" si="114"/>
        <v>0</v>
      </c>
      <c r="CI46" s="85">
        <f t="shared" si="114"/>
        <v>0</v>
      </c>
      <c r="CJ46" s="85">
        <f t="shared" si="114"/>
        <v>0</v>
      </c>
      <c r="CK46" s="85">
        <f t="shared" si="114"/>
        <v>6.1685999999999996</v>
      </c>
      <c r="CL46" s="85">
        <f t="shared" si="114"/>
        <v>0</v>
      </c>
      <c r="CM46" s="85">
        <f t="shared" si="114"/>
        <v>0</v>
      </c>
      <c r="CN46" s="84">
        <f t="shared" si="114"/>
        <v>0</v>
      </c>
      <c r="CO46" s="84">
        <f t="shared" si="114"/>
        <v>6.6820000000000004</v>
      </c>
      <c r="CP46" s="84">
        <f t="shared" si="114"/>
        <v>0</v>
      </c>
      <c r="CQ46" s="84">
        <f t="shared" si="114"/>
        <v>0</v>
      </c>
      <c r="CR46" s="84">
        <f t="shared" si="114"/>
        <v>0</v>
      </c>
      <c r="CS46" s="84">
        <f>CS43/AVERAGE(CR44:CS44)</f>
        <v>5.3267449999999998</v>
      </c>
      <c r="CT46" s="84">
        <f t="shared" ref="CT46:CW46" ca="1" si="115">CT43/AVERAGE(CS44:CT44)</f>
        <v>0</v>
      </c>
      <c r="CU46" s="84">
        <f t="shared" ca="1" si="115"/>
        <v>0</v>
      </c>
      <c r="CV46" s="84">
        <f t="shared" ca="1" si="115"/>
        <v>0</v>
      </c>
      <c r="CW46" s="84">
        <f t="shared" si="115"/>
        <v>6.6450174000000004</v>
      </c>
      <c r="CX46" s="328">
        <f t="shared" ref="CX46:CZ46" ca="1" si="116">CX43/AVERAGE(CW44:CX44)</f>
        <v>0</v>
      </c>
      <c r="CY46" s="328">
        <f t="shared" ca="1" si="116"/>
        <v>0</v>
      </c>
      <c r="CZ46" s="328">
        <f t="shared" ca="1" si="116"/>
        <v>0</v>
      </c>
      <c r="DA46" s="83">
        <f t="shared" ref="DA46" ca="1" si="117">DA43/AVERAGE(CZ44:DA44)</f>
        <v>9.6925369859578741</v>
      </c>
      <c r="DB46" s="83">
        <f t="shared" ref="DB46" ca="1" si="118">DB43/AVERAGE(DA44:DB44)</f>
        <v>0</v>
      </c>
      <c r="DC46" s="83">
        <f t="shared" ref="DC46" ca="1" si="119">DC43/AVERAGE(DB44:DC44)</f>
        <v>0</v>
      </c>
      <c r="DD46" s="83">
        <f t="shared" ref="DD46" ca="1" si="120">DD43/AVERAGE(DC44:DD44)</f>
        <v>0</v>
      </c>
      <c r="DE46" s="83">
        <f t="shared" ref="DE46" ca="1" si="121">DE43/AVERAGE(DD44:DE44)</f>
        <v>11.028047007414662</v>
      </c>
      <c r="DF46" s="83">
        <f t="shared" ref="DF46" ca="1" si="122">DF43/AVERAGE(DE44:DF44)</f>
        <v>0</v>
      </c>
      <c r="DG46" s="83">
        <f t="shared" ref="DG46" ca="1" si="123">DG43/AVERAGE(DF44:DG44)</f>
        <v>0</v>
      </c>
      <c r="DH46" s="83">
        <f t="shared" ref="DH46" ca="1" si="124">DH43/AVERAGE(DG44:DH44)</f>
        <v>0</v>
      </c>
      <c r="DI46" s="83">
        <f t="shared" ref="DI46" ca="1" si="125">DI43/AVERAGE(DH44:DI44)</f>
        <v>13.076128635697192</v>
      </c>
      <c r="DJ46" s="83">
        <f t="shared" ref="DJ46" ca="1" si="126">DJ43/AVERAGE(DI44:DJ44)</f>
        <v>0</v>
      </c>
      <c r="DK46" s="83">
        <f t="shared" ref="DK46" ca="1" si="127">DK43/AVERAGE(DJ44:DK44)</f>
        <v>0</v>
      </c>
      <c r="DL46" s="83">
        <f t="shared" ref="DL46" ca="1" si="128">DL43/AVERAGE(DK44:DL44)</f>
        <v>0</v>
      </c>
      <c r="DM46" s="83">
        <f t="shared" ref="DM46" ca="1" si="129">DM43/AVERAGE(DL44:DM44)</f>
        <v>15.520964241193107</v>
      </c>
      <c r="DN46" s="83">
        <f t="shared" ref="DN46" ca="1" si="130">DN43/AVERAGE(DM44:DN44)</f>
        <v>0</v>
      </c>
      <c r="DO46" s="83">
        <f t="shared" ref="DO46" ca="1" si="131">DO43/AVERAGE(DN44:DO44)</f>
        <v>0</v>
      </c>
      <c r="DP46" s="83">
        <f t="shared" ref="DP46" ca="1" si="132">DP43/AVERAGE(DO44:DP44)</f>
        <v>0</v>
      </c>
      <c r="DQ46" s="83">
        <f t="shared" ref="DQ46" ca="1" si="133">DQ43/AVERAGE(DP44:DQ44)</f>
        <v>17.854809051582986</v>
      </c>
      <c r="DR46" s="83">
        <f t="shared" ref="DR46" ca="1" si="134">DR43/AVERAGE(DQ44:DR44)</f>
        <v>0</v>
      </c>
      <c r="DS46" s="83">
        <f t="shared" ref="DS46" ca="1" si="135">DS43/AVERAGE(DR44:DS44)</f>
        <v>0</v>
      </c>
      <c r="DT46" s="83">
        <f t="shared" ref="DT46" ca="1" si="136">DT43/AVERAGE(DS44:DT44)</f>
        <v>0</v>
      </c>
      <c r="DU46" s="83">
        <f t="shared" ref="DU46" ca="1" si="137">DU43/AVERAGE(DT44:DU44)</f>
        <v>20.724450638087628</v>
      </c>
      <c r="DV46" s="83">
        <f t="shared" ref="DV46" ca="1" si="138">DV43/AVERAGE(DU44:DV44)</f>
        <v>0</v>
      </c>
      <c r="DW46" s="83">
        <f t="shared" ref="DW46" ca="1" si="139">DW43/AVERAGE(DV44:DW44)</f>
        <v>0</v>
      </c>
      <c r="DX46" s="83">
        <f t="shared" ref="DX46" ca="1" si="140">DX43/AVERAGE(DW44:DX44)</f>
        <v>0</v>
      </c>
    </row>
    <row r="47" spans="1:128" s="33" customFormat="1" ht="10.199999999999999">
      <c r="Q47" s="35"/>
      <c r="R47" s="35"/>
      <c r="S47" s="35"/>
      <c r="T47" s="561"/>
      <c r="U47" s="34"/>
      <c r="V47" s="34"/>
      <c r="W47" s="34"/>
      <c r="X47" s="34"/>
      <c r="Y47" s="34"/>
      <c r="Z47" s="34"/>
      <c r="BY47" s="82"/>
      <c r="BZ47" s="82"/>
      <c r="CA47" s="82"/>
      <c r="CB47" s="82"/>
      <c r="CC47" s="82"/>
      <c r="CD47" s="82"/>
      <c r="CE47" s="82"/>
      <c r="CF47" s="82"/>
      <c r="CG47" s="82"/>
      <c r="CH47" s="82"/>
      <c r="CI47" s="82"/>
      <c r="CJ47" s="82"/>
      <c r="CK47" s="82"/>
      <c r="CL47" s="82"/>
      <c r="CM47" s="34"/>
      <c r="CN47" s="35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</row>
    <row r="48" spans="1:128">
      <c r="A48" s="78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>
        <f t="shared" ref="N48:X48" si="141">N7</f>
        <v>2009</v>
      </c>
      <c r="O48" s="81">
        <f t="shared" si="141"/>
        <v>2010</v>
      </c>
      <c r="P48" s="81">
        <f t="shared" si="141"/>
        <v>2011</v>
      </c>
      <c r="Q48" s="80">
        <f t="shared" si="141"/>
        <v>2012</v>
      </c>
      <c r="R48" s="80">
        <f t="shared" si="141"/>
        <v>2013</v>
      </c>
      <c r="S48" s="80">
        <f t="shared" si="141"/>
        <v>2014</v>
      </c>
      <c r="T48" s="81">
        <f t="shared" si="141"/>
        <v>2015</v>
      </c>
      <c r="U48" s="79" t="str">
        <f t="shared" si="141"/>
        <v>2016E</v>
      </c>
      <c r="V48" s="79" t="str">
        <f t="shared" si="141"/>
        <v>2017E</v>
      </c>
      <c r="W48" s="79" t="str">
        <f t="shared" si="141"/>
        <v>2018E</v>
      </c>
      <c r="X48" s="79" t="str">
        <f t="shared" si="141"/>
        <v>2019E</v>
      </c>
      <c r="Y48" s="79" t="str">
        <f t="shared" ref="Y48:Z48" si="142">Y7</f>
        <v>2020E</v>
      </c>
      <c r="Z48" s="79" t="str">
        <f t="shared" si="142"/>
        <v>2021E</v>
      </c>
      <c r="AB48" s="78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 t="str">
        <f t="shared" ref="BY48:CN48" si="143">BY7</f>
        <v>1Q09</v>
      </c>
      <c r="BZ48" s="77" t="str">
        <f t="shared" si="143"/>
        <v>2Q09</v>
      </c>
      <c r="CA48" s="77" t="str">
        <f t="shared" si="143"/>
        <v>3Q09</v>
      </c>
      <c r="CB48" s="77" t="str">
        <f t="shared" si="143"/>
        <v>4Q09</v>
      </c>
      <c r="CC48" s="77" t="str">
        <f t="shared" si="143"/>
        <v>1Q10</v>
      </c>
      <c r="CD48" s="77" t="str">
        <f t="shared" si="143"/>
        <v>2Q10</v>
      </c>
      <c r="CE48" s="77" t="str">
        <f t="shared" si="143"/>
        <v>3Q10</v>
      </c>
      <c r="CF48" s="77" t="str">
        <f t="shared" si="143"/>
        <v>4Q10</v>
      </c>
      <c r="CG48" s="77" t="str">
        <f t="shared" si="143"/>
        <v>1Q11</v>
      </c>
      <c r="CH48" s="77" t="str">
        <f t="shared" si="143"/>
        <v>2Q11</v>
      </c>
      <c r="CI48" s="77" t="str">
        <f t="shared" si="143"/>
        <v>3Q11</v>
      </c>
      <c r="CJ48" s="77" t="str">
        <f t="shared" si="143"/>
        <v>4Q11</v>
      </c>
      <c r="CK48" s="77" t="str">
        <f t="shared" si="143"/>
        <v>1Q12</v>
      </c>
      <c r="CL48" s="77" t="str">
        <f t="shared" si="143"/>
        <v>2Q12</v>
      </c>
      <c r="CM48" s="77" t="str">
        <f t="shared" si="143"/>
        <v>3Q12</v>
      </c>
      <c r="CN48" s="76" t="str">
        <f t="shared" si="143"/>
        <v>4Q12</v>
      </c>
      <c r="CO48" s="76" t="str">
        <f t="shared" ref="CO48:CS48" si="144">CO7</f>
        <v>1Q13</v>
      </c>
      <c r="CP48" s="76" t="str">
        <f t="shared" ref="CP48:CQ48" si="145">CP7</f>
        <v>2Q13</v>
      </c>
      <c r="CQ48" s="76" t="str">
        <f t="shared" si="145"/>
        <v>3Q13</v>
      </c>
      <c r="CR48" s="76" t="str">
        <f t="shared" ref="CR48" si="146">CR7</f>
        <v>4Q13</v>
      </c>
      <c r="CS48" s="76" t="str">
        <f t="shared" si="144"/>
        <v>1Q14</v>
      </c>
      <c r="CT48" s="76" t="str">
        <f t="shared" ref="CT48:DP48" si="147">CT7</f>
        <v>2Q14</v>
      </c>
      <c r="CU48" s="77" t="str">
        <f t="shared" si="147"/>
        <v>3Q14</v>
      </c>
      <c r="CV48" s="77" t="str">
        <f t="shared" si="147"/>
        <v>4Q14</v>
      </c>
      <c r="CW48" s="77" t="str">
        <f t="shared" ref="CW48" si="148">CW7</f>
        <v>1Q15</v>
      </c>
      <c r="CX48" s="77" t="str">
        <f t="shared" si="147"/>
        <v>2Q15</v>
      </c>
      <c r="CY48" s="77" t="str">
        <f t="shared" si="147"/>
        <v>3Q15</v>
      </c>
      <c r="CZ48" s="77" t="str">
        <f t="shared" si="147"/>
        <v>4Q15</v>
      </c>
      <c r="DA48" s="75" t="str">
        <f t="shared" si="147"/>
        <v>1Q16E</v>
      </c>
      <c r="DB48" s="75" t="str">
        <f t="shared" si="147"/>
        <v>2Q16E</v>
      </c>
      <c r="DC48" s="75" t="str">
        <f t="shared" si="147"/>
        <v>3Q16E</v>
      </c>
      <c r="DD48" s="75" t="str">
        <f t="shared" si="147"/>
        <v>4Q16E</v>
      </c>
      <c r="DE48" s="75" t="str">
        <f t="shared" si="147"/>
        <v>1Q17E</v>
      </c>
      <c r="DF48" s="75" t="str">
        <f t="shared" si="147"/>
        <v>2Q17E</v>
      </c>
      <c r="DG48" s="75" t="str">
        <f t="shared" si="147"/>
        <v>3Q17E</v>
      </c>
      <c r="DH48" s="75" t="str">
        <f t="shared" si="147"/>
        <v>4Q17E</v>
      </c>
      <c r="DI48" s="75" t="str">
        <f t="shared" si="147"/>
        <v>1Q18E</v>
      </c>
      <c r="DJ48" s="75" t="str">
        <f t="shared" si="147"/>
        <v>2Q18E</v>
      </c>
      <c r="DK48" s="75" t="str">
        <f t="shared" si="147"/>
        <v>3Q18E</v>
      </c>
      <c r="DL48" s="75" t="str">
        <f t="shared" si="147"/>
        <v>4Q18E</v>
      </c>
      <c r="DM48" s="75" t="str">
        <f t="shared" si="147"/>
        <v>1Q19E</v>
      </c>
      <c r="DN48" s="75" t="str">
        <f t="shared" si="147"/>
        <v>2Q19E</v>
      </c>
      <c r="DO48" s="75" t="str">
        <f t="shared" si="147"/>
        <v>3Q19E</v>
      </c>
      <c r="DP48" s="75" t="str">
        <f t="shared" si="147"/>
        <v>4Q19E</v>
      </c>
      <c r="DQ48" s="75" t="str">
        <f t="shared" ref="DQ48:DT48" si="149">DQ7</f>
        <v>1Q20E</v>
      </c>
      <c r="DR48" s="75" t="str">
        <f t="shared" si="149"/>
        <v>2Q20E</v>
      </c>
      <c r="DS48" s="75" t="str">
        <f t="shared" si="149"/>
        <v>3Q20E</v>
      </c>
      <c r="DT48" s="75" t="str">
        <f t="shared" si="149"/>
        <v>4Q20E</v>
      </c>
      <c r="DU48" s="75" t="str">
        <f t="shared" ref="DU48:DX48" si="150">DU7</f>
        <v>1Q21E</v>
      </c>
      <c r="DV48" s="75" t="str">
        <f t="shared" si="150"/>
        <v>2Q21E</v>
      </c>
      <c r="DW48" s="75" t="str">
        <f t="shared" si="150"/>
        <v>3Q21E</v>
      </c>
      <c r="DX48" s="75" t="str">
        <f t="shared" si="150"/>
        <v>4Q21E</v>
      </c>
    </row>
    <row r="49" spans="1:128">
      <c r="A49" s="74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39"/>
      <c r="R49" s="39"/>
      <c r="S49" s="39"/>
      <c r="T49" s="40"/>
      <c r="U49" s="36"/>
      <c r="V49" s="36"/>
      <c r="W49" s="36"/>
      <c r="X49" s="36"/>
      <c r="Y49" s="36"/>
      <c r="Z49" s="36"/>
      <c r="AB49" s="74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6"/>
      <c r="CN49" s="39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</row>
    <row r="50" spans="1:128">
      <c r="A50" s="67" t="s">
        <v>30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39"/>
      <c r="R50" s="39"/>
      <c r="S50" s="39"/>
      <c r="T50" s="40"/>
      <c r="U50" s="36"/>
      <c r="V50" s="36"/>
      <c r="W50" s="36"/>
      <c r="X50" s="36"/>
      <c r="Y50" s="36"/>
      <c r="Z50" s="36"/>
      <c r="AB50" s="73" t="s">
        <v>29</v>
      </c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</row>
    <row r="51" spans="1:128">
      <c r="A51" s="64" t="s">
        <v>28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>
        <f>'Balance Sheet'!N20</f>
        <v>32976043.290704809</v>
      </c>
      <c r="O51" s="56">
        <f>'Balance Sheet'!O20</f>
        <v>39841759.578479499</v>
      </c>
      <c r="P51" s="56">
        <f>'Balance Sheet'!P20</f>
        <v>46327040.078152888</v>
      </c>
      <c r="Q51" s="58">
        <f>'Balance Sheet'!Q20</f>
        <v>53815603.672012493</v>
      </c>
      <c r="R51" s="58">
        <f>'Balance Sheet'!R20</f>
        <v>62857020.944389746</v>
      </c>
      <c r="S51" s="58">
        <f>'Balance Sheet'!S20</f>
        <v>77880838</v>
      </c>
      <c r="T51" s="56">
        <f>'Balance Sheet'!T20</f>
        <v>88017645</v>
      </c>
      <c r="U51" s="55">
        <f>'Balance Sheet'!U20</f>
        <v>98945255.287023455</v>
      </c>
      <c r="V51" s="55">
        <f>'Balance Sheet'!V20</f>
        <v>112167965.13003215</v>
      </c>
      <c r="W51" s="55">
        <f>'Balance Sheet'!W20</f>
        <v>126444255.11758614</v>
      </c>
      <c r="X51" s="55">
        <f>'Balance Sheet'!X20</f>
        <v>142766975.19935977</v>
      </c>
      <c r="Y51" s="55">
        <f>'Balance Sheet'!Y20</f>
        <v>162005607.35210627</v>
      </c>
      <c r="Z51" s="55">
        <f>'Balance Sheet'!Z20</f>
        <v>184575859.19315279</v>
      </c>
      <c r="AB51" s="61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>
        <f>'Balance Sheet'!BY20</f>
        <v>31618712.187210273</v>
      </c>
      <c r="BZ51" s="60">
        <f>'Balance Sheet'!BZ20</f>
        <v>31475453.340346396</v>
      </c>
      <c r="CA51" s="60">
        <f>'Balance Sheet'!CA20</f>
        <v>30309581.648880515</v>
      </c>
      <c r="CB51" s="60">
        <f>'Balance Sheet'!CB20</f>
        <v>32976043.290704809</v>
      </c>
      <c r="CC51" s="60">
        <f>'Balance Sheet'!CC20</f>
        <v>33259894.799082216</v>
      </c>
      <c r="CD51" s="60">
        <f>'Balance Sheet'!CD20</f>
        <v>35273359.171519198</v>
      </c>
      <c r="CE51" s="60">
        <f>'Balance Sheet'!CE20</f>
        <v>36777205.07837458</v>
      </c>
      <c r="CF51" s="60">
        <f>'Balance Sheet'!CF20</f>
        <v>39841759.578479499</v>
      </c>
      <c r="CG51" s="60">
        <f>'Balance Sheet'!CG20</f>
        <v>40511949.642456837</v>
      </c>
      <c r="CH51" s="60">
        <f>'Balance Sheet'!CH20</f>
        <v>43863109.21474693</v>
      </c>
      <c r="CI51" s="60">
        <f>'Balance Sheet'!CI20</f>
        <v>44780138.806408562</v>
      </c>
      <c r="CJ51" s="60">
        <f>'Balance Sheet'!CJ20</f>
        <v>46327040.078152888</v>
      </c>
      <c r="CK51" s="60">
        <f>'Balance Sheet'!CK20</f>
        <v>47457753.607872926</v>
      </c>
      <c r="CL51" s="60">
        <f>'Balance Sheet'!CL20</f>
        <v>50473991.774702668</v>
      </c>
      <c r="CM51" s="60">
        <f>'Balance Sheet'!CM20</f>
        <v>51796273.305909127</v>
      </c>
      <c r="CN51" s="60">
        <f>'Balance Sheet'!CN20</f>
        <v>53815603.672012493</v>
      </c>
      <c r="CO51" s="60">
        <f>'Balance Sheet'!CO20</f>
        <v>55007355.784946956</v>
      </c>
      <c r="CP51" s="60">
        <f>'Balance Sheet'!CP20</f>
        <v>58152473.513259053</v>
      </c>
      <c r="CQ51" s="60">
        <f>'Balance Sheet'!CQ20</f>
        <v>60998683.352839962</v>
      </c>
      <c r="CR51" s="60">
        <f>'Balance Sheet'!CR20</f>
        <v>62857020.944389746</v>
      </c>
      <c r="CS51" s="60">
        <f>'Balance Sheet'!CS20</f>
        <v>68623076</v>
      </c>
      <c r="CT51" s="60">
        <f>'Balance Sheet'!CT20</f>
        <v>71524773</v>
      </c>
      <c r="CU51" s="60">
        <f>'Balance Sheet'!CU20</f>
        <v>73718663</v>
      </c>
      <c r="CV51" s="60">
        <f>'Balance Sheet'!CV20</f>
        <v>77880838</v>
      </c>
      <c r="CW51" s="60">
        <f>'Balance Sheet'!CW20</f>
        <v>79512894</v>
      </c>
      <c r="CX51" s="60">
        <f>'Balance Sheet'!CX20</f>
        <v>81227832</v>
      </c>
      <c r="CY51" s="60">
        <f>'Balance Sheet'!CY20</f>
        <v>85586035</v>
      </c>
      <c r="CZ51" s="60">
        <f>'Balance Sheet'!CZ20</f>
        <v>88017645</v>
      </c>
      <c r="DA51" s="59">
        <f>'Balance Sheet'!DA20</f>
        <v>94551663.868118837</v>
      </c>
      <c r="DB51" s="59">
        <f>'Balance Sheet'!DB20</f>
        <v>93272099.385793686</v>
      </c>
      <c r="DC51" s="59">
        <f>'Balance Sheet'!DC20</f>
        <v>99606870.489927784</v>
      </c>
      <c r="DD51" s="59">
        <f>'Balance Sheet'!DD20</f>
        <v>98945255.287023455</v>
      </c>
      <c r="DE51" s="59">
        <f>'Balance Sheet'!DE20</f>
        <v>105352561.87722182</v>
      </c>
      <c r="DF51" s="59">
        <f>'Balance Sheet'!DF20</f>
        <v>105467111.26449479</v>
      </c>
      <c r="DG51" s="59">
        <f>'Balance Sheet'!DG20</f>
        <v>112017504.34426981</v>
      </c>
      <c r="DH51" s="59">
        <f>'Balance Sheet'!DH20</f>
        <v>112167965.13003215</v>
      </c>
      <c r="DI51" s="59">
        <f>'Balance Sheet'!DI20</f>
        <v>118428033.25744708</v>
      </c>
      <c r="DJ51" s="59">
        <f>'Balance Sheet'!DJ20</f>
        <v>119190429.40046319</v>
      </c>
      <c r="DK51" s="59">
        <f>'Balance Sheet'!DK20</f>
        <v>125549913.53053945</v>
      </c>
      <c r="DL51" s="59">
        <f>'Balance Sheet'!DL20</f>
        <v>126444255.11758614</v>
      </c>
      <c r="DM51" s="59">
        <f>'Balance Sheet'!DM20</f>
        <v>132696266.41537049</v>
      </c>
      <c r="DN51" s="59">
        <f>'Balance Sheet'!DN20</f>
        <v>134449355.34100688</v>
      </c>
      <c r="DO51" s="59">
        <f>'Balance Sheet'!DO20</f>
        <v>140795668.94894403</v>
      </c>
      <c r="DP51" s="59">
        <f>'Balance Sheet'!DP20</f>
        <v>142766975.19935977</v>
      </c>
      <c r="DQ51" s="59">
        <f>'Balance Sheet'!DQ20</f>
        <v>148957956.99297902</v>
      </c>
      <c r="DR51" s="59">
        <f>'Balance Sheet'!DR20</f>
        <v>151959851.93370417</v>
      </c>
      <c r="DS51" s="59">
        <f>'Balance Sheet'!DS20</f>
        <v>158085007.59634042</v>
      </c>
      <c r="DT51" s="59">
        <f>'Balance Sheet'!DT20</f>
        <v>162005607.35210627</v>
      </c>
      <c r="DU51" s="59">
        <f>'Balance Sheet'!DU20</f>
        <v>167694257.22146004</v>
      </c>
      <c r="DV51" s="59">
        <f>'Balance Sheet'!DV20</f>
        <v>172817735.45195884</v>
      </c>
      <c r="DW51" s="59">
        <f>'Balance Sheet'!DW20</f>
        <v>178478626.08356178</v>
      </c>
      <c r="DX51" s="59">
        <f>'Balance Sheet'!DX20</f>
        <v>184575859.19315279</v>
      </c>
    </row>
    <row r="52" spans="1:128">
      <c r="A52" s="64" t="s">
        <v>27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>
        <f>'Balance Sheet'!N12</f>
        <v>8375716.9945716001</v>
      </c>
      <c r="O52" s="56">
        <f>'Balance Sheet'!O12</f>
        <v>19546366.100151662</v>
      </c>
      <c r="P52" s="56">
        <f>'Balance Sheet'!P12</f>
        <v>12127576.445338482</v>
      </c>
      <c r="Q52" s="71">
        <f>'Balance Sheet'!Q12</f>
        <v>17265611.9881575</v>
      </c>
      <c r="R52" s="71">
        <f>'Balance Sheet'!R12</f>
        <v>17607951.429067351</v>
      </c>
      <c r="S52" s="71">
        <f>'Balance Sheet'!S12</f>
        <v>21161164</v>
      </c>
      <c r="T52" s="603">
        <f>'Balance Sheet'!T12</f>
        <v>28650927</v>
      </c>
      <c r="U52" s="70">
        <f>'Balance Sheet'!U12</f>
        <v>29584663.269163322</v>
      </c>
      <c r="V52" s="70">
        <f>'Balance Sheet'!V12</f>
        <v>30464797.128113534</v>
      </c>
      <c r="W52" s="70">
        <f>'Balance Sheet'!W12</f>
        <v>31378741.041956931</v>
      </c>
      <c r="X52" s="70">
        <f>'Balance Sheet'!X12</f>
        <v>32320103.273215625</v>
      </c>
      <c r="Y52" s="70">
        <f>'Balance Sheet'!Y12</f>
        <v>33289706.371412084</v>
      </c>
      <c r="Z52" s="70">
        <f>'Balance Sheet'!Z12</f>
        <v>34288397.562554434</v>
      </c>
      <c r="AB52" s="61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>
        <f>'Balance Sheet'!BY12</f>
        <v>9577815.931779841</v>
      </c>
      <c r="BZ52" s="60">
        <f>'Balance Sheet'!BZ12</f>
        <v>8357545.7353556007</v>
      </c>
      <c r="CA52" s="60">
        <f>'Balance Sheet'!CA12</f>
        <v>7881039.8032091614</v>
      </c>
      <c r="CB52" s="60">
        <f>'Balance Sheet'!CB12</f>
        <v>8375716.9945716001</v>
      </c>
      <c r="CC52" s="60">
        <f>'Balance Sheet'!CC12</f>
        <v>7127705.3547273623</v>
      </c>
      <c r="CD52" s="60">
        <f>'Balance Sheet'!CD12</f>
        <v>7243790.5140624</v>
      </c>
      <c r="CE52" s="60">
        <f>'Balance Sheet'!CE12</f>
        <v>8099371.9784168405</v>
      </c>
      <c r="CF52" s="60">
        <f>'Balance Sheet'!CF12</f>
        <v>19546366.100151662</v>
      </c>
      <c r="CG52" s="60">
        <f>'Balance Sheet'!CG12</f>
        <v>16461493.527808916</v>
      </c>
      <c r="CH52" s="60">
        <f>'Balance Sheet'!CH12</f>
        <v>10809644.438689679</v>
      </c>
      <c r="CI52" s="60">
        <f>'Balance Sheet'!CI12</f>
        <v>11192345.825444549</v>
      </c>
      <c r="CJ52" s="60">
        <f>'Balance Sheet'!CJ12</f>
        <v>12127576.445338482</v>
      </c>
      <c r="CK52" s="60">
        <f>'Balance Sheet'!CK12</f>
        <v>14123774.968814699</v>
      </c>
      <c r="CL52" s="60">
        <f>'Balance Sheet'!CL12</f>
        <v>12677937.530374369</v>
      </c>
      <c r="CM52" s="60">
        <f>'Balance Sheet'!CM12</f>
        <v>14683285.833408242</v>
      </c>
      <c r="CN52" s="60">
        <f>'Balance Sheet'!CN12</f>
        <v>17265611.9881575</v>
      </c>
      <c r="CO52" s="60">
        <f>'Balance Sheet'!CO12</f>
        <v>19576228.620365221</v>
      </c>
      <c r="CP52" s="60">
        <f>'Balance Sheet'!CP12</f>
        <v>17286981.964776423</v>
      </c>
      <c r="CQ52" s="60">
        <f>'Balance Sheet'!CQ12</f>
        <v>18249609.543588061</v>
      </c>
      <c r="CR52" s="60">
        <f>'Balance Sheet'!CR12</f>
        <v>17607951.429067351</v>
      </c>
      <c r="CS52" s="60">
        <f>'Balance Sheet'!CS12</f>
        <v>19451506</v>
      </c>
      <c r="CT52" s="60">
        <f>'Balance Sheet'!CT12</f>
        <v>18840530</v>
      </c>
      <c r="CU52" s="60">
        <f>'Balance Sheet'!CU12</f>
        <v>20739067</v>
      </c>
      <c r="CV52" s="60">
        <f>'Balance Sheet'!CV12</f>
        <v>21161164</v>
      </c>
      <c r="CW52" s="60">
        <f>'Balance Sheet'!CW12</f>
        <v>21839400</v>
      </c>
      <c r="CX52" s="60">
        <f>'Balance Sheet'!CX12</f>
        <v>24789029</v>
      </c>
      <c r="CY52" s="60">
        <f>'Balance Sheet'!CY12</f>
        <v>27955357</v>
      </c>
      <c r="CZ52" s="60">
        <f>'Balance Sheet'!CZ12</f>
        <v>28650927</v>
      </c>
      <c r="DA52" s="59">
        <f>'Balance Sheet'!DA12</f>
        <v>28886964.332750056</v>
      </c>
      <c r="DB52" s="59">
        <f>'Balance Sheet'!DB12</f>
        <v>29129433.580213401</v>
      </c>
      <c r="DC52" s="59">
        <f>'Balance Sheet'!DC12</f>
        <v>29359723.701658808</v>
      </c>
      <c r="DD52" s="59">
        <f>'Balance Sheet'!DD12</f>
        <v>29584663.269163322</v>
      </c>
      <c r="DE52" s="59">
        <f>'Balance Sheet'!DE12</f>
        <v>29811326.211504169</v>
      </c>
      <c r="DF52" s="59">
        <f>'Balance Sheet'!DF12</f>
        <v>30025146.875451196</v>
      </c>
      <c r="DG52" s="59">
        <f>'Balance Sheet'!DG12</f>
        <v>30240501.160412144</v>
      </c>
      <c r="DH52" s="59">
        <f>'Balance Sheet'!DH12</f>
        <v>30464797.128113534</v>
      </c>
      <c r="DI52" s="59">
        <f>'Balance Sheet'!DI12</f>
        <v>30690756.715106823</v>
      </c>
      <c r="DJ52" s="59">
        <f>'Balance Sheet'!DJ12</f>
        <v>30918392.260575708</v>
      </c>
      <c r="DK52" s="59">
        <f>'Balance Sheet'!DK12</f>
        <v>31147716.195224497</v>
      </c>
      <c r="DL52" s="59">
        <f>'Balance Sheet'!DL12</f>
        <v>31378741.041956931</v>
      </c>
      <c r="DM52" s="59">
        <f>'Balance Sheet'!DM12</f>
        <v>31611479.416560017</v>
      </c>
      <c r="DN52" s="59">
        <f>'Balance Sheet'!DN12</f>
        <v>31845944.028392967</v>
      </c>
      <c r="DO52" s="59">
        <f>'Balance Sheet'!DO12</f>
        <v>32082147.681081221</v>
      </c>
      <c r="DP52" s="59">
        <f>'Balance Sheet'!DP12</f>
        <v>32320103.273215625</v>
      </c>
      <c r="DQ52" s="59">
        <f>'Balance Sheet'!DQ12</f>
        <v>32559823.799056806</v>
      </c>
      <c r="DR52" s="59">
        <f>'Balance Sheet'!DR12</f>
        <v>32801322.349244744</v>
      </c>
      <c r="DS52" s="59">
        <f>'Balance Sheet'!DS12</f>
        <v>33044612.111513644</v>
      </c>
      <c r="DT52" s="59">
        <f>'Balance Sheet'!DT12</f>
        <v>33289706.371412084</v>
      </c>
      <c r="DU52" s="59">
        <f>'Balance Sheet'!DU12</f>
        <v>33536618.513028499</v>
      </c>
      <c r="DV52" s="59">
        <f>'Balance Sheet'!DV12</f>
        <v>33785362.019722074</v>
      </c>
      <c r="DW52" s="59">
        <f>'Balance Sheet'!DW12</f>
        <v>34035950.474859044</v>
      </c>
      <c r="DX52" s="59">
        <f>'Balance Sheet'!DX12</f>
        <v>34288397.562554434</v>
      </c>
    </row>
    <row r="53" spans="1:128">
      <c r="A53" s="64" t="s">
        <v>26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>
        <f>'Balance Sheet'!N16</f>
        <v>203218.58597979997</v>
      </c>
      <c r="O53" s="56">
        <f>'Balance Sheet'!O16</f>
        <v>321433.38794751</v>
      </c>
      <c r="P53" s="56">
        <f>'Balance Sheet'!P16</f>
        <v>203847.52371280003</v>
      </c>
      <c r="Q53" s="71">
        <f>'Balance Sheet'!Q16</f>
        <v>694904.80531800003</v>
      </c>
      <c r="R53" s="71">
        <f>'Balance Sheet'!R16</f>
        <v>1743695.2847964</v>
      </c>
      <c r="S53" s="71">
        <f>'Balance Sheet'!S16</f>
        <v>2824442</v>
      </c>
      <c r="T53" s="603">
        <f>'Balance Sheet'!T16</f>
        <v>2673424</v>
      </c>
      <c r="U53" s="70">
        <f>'Balance Sheet'!U16</f>
        <v>2760551.1268692873</v>
      </c>
      <c r="V53" s="70">
        <f>'Balance Sheet'!V16</f>
        <v>2842676.6016132673</v>
      </c>
      <c r="W53" s="70">
        <f>'Balance Sheet'!W16</f>
        <v>2927956.8996616644</v>
      </c>
      <c r="X53" s="70">
        <f>'Balance Sheet'!X16</f>
        <v>3015795.6066515134</v>
      </c>
      <c r="Y53" s="70">
        <f>'Balance Sheet'!Y16</f>
        <v>3106269.4748510579</v>
      </c>
      <c r="Z53" s="70">
        <f>'Balance Sheet'!Z16</f>
        <v>3199457.5590965888</v>
      </c>
      <c r="AB53" s="61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>
        <f>'Balance Sheet'!BY16</f>
        <v>94744.481262870002</v>
      </c>
      <c r="BZ53" s="60">
        <f>'Balance Sheet'!BZ16</f>
        <v>119132.98312159997</v>
      </c>
      <c r="CA53" s="60">
        <f>'Balance Sheet'!CA16</f>
        <v>258747.75269139998</v>
      </c>
      <c r="CB53" s="60">
        <f>'Balance Sheet'!CB16</f>
        <v>203218.58597979997</v>
      </c>
      <c r="CC53" s="60">
        <f>'Balance Sheet'!CC16</f>
        <v>310595.27847518999</v>
      </c>
      <c r="CD53" s="60">
        <f>'Balance Sheet'!CD16</f>
        <v>169663.46022737998</v>
      </c>
      <c r="CE53" s="60">
        <f>'Balance Sheet'!CE16</f>
        <v>206200.00474539</v>
      </c>
      <c r="CF53" s="60">
        <f>'Balance Sheet'!CF16</f>
        <v>321433.38794751</v>
      </c>
      <c r="CG53" s="60">
        <f>'Balance Sheet'!CG16</f>
        <v>278974.94455864001</v>
      </c>
      <c r="CH53" s="60">
        <f>'Balance Sheet'!CH16</f>
        <v>270777.70345722005</v>
      </c>
      <c r="CI53" s="60">
        <f>'Balance Sheet'!CI16</f>
        <v>328014.85252145003</v>
      </c>
      <c r="CJ53" s="60">
        <f>'Balance Sheet'!CJ16</f>
        <v>203847.52371280003</v>
      </c>
      <c r="CK53" s="60">
        <f>'Balance Sheet'!CK16</f>
        <v>428264.66193860996</v>
      </c>
      <c r="CL53" s="60">
        <f>'Balance Sheet'!CL16</f>
        <v>815552.02295076987</v>
      </c>
      <c r="CM53" s="60">
        <f>'Balance Sheet'!CM16</f>
        <v>645194.43851999985</v>
      </c>
      <c r="CN53" s="60">
        <f>'Balance Sheet'!CN16</f>
        <v>694904.80531800003</v>
      </c>
      <c r="CO53" s="60">
        <f>'Balance Sheet'!CO16</f>
        <v>901033.60253655002</v>
      </c>
      <c r="CP53" s="60">
        <f>'Balance Sheet'!CP16</f>
        <v>796853.52243120014</v>
      </c>
      <c r="CQ53" s="60">
        <f>'Balance Sheet'!CQ16</f>
        <v>791016.59783360118</v>
      </c>
      <c r="CR53" s="60">
        <f>'Balance Sheet'!CR16</f>
        <v>1743695.2847964</v>
      </c>
      <c r="CS53" s="60">
        <f>'Balance Sheet'!CS16</f>
        <v>1818592</v>
      </c>
      <c r="CT53" s="60">
        <f>'Balance Sheet'!CT16</f>
        <v>2249019</v>
      </c>
      <c r="CU53" s="60">
        <f>'Balance Sheet'!CU16</f>
        <v>3259704</v>
      </c>
      <c r="CV53" s="60">
        <f>'Balance Sheet'!CV16</f>
        <v>2824442</v>
      </c>
      <c r="CW53" s="60">
        <f>'Balance Sheet'!CW16</f>
        <v>2847236</v>
      </c>
      <c r="CX53" s="60">
        <f>'Balance Sheet'!CX16</f>
        <v>2130997</v>
      </c>
      <c r="CY53" s="60">
        <f>'Balance Sheet'!CY16</f>
        <v>2608267</v>
      </c>
      <c r="CZ53" s="60">
        <f>'Balance Sheet'!CZ16</f>
        <v>2673424</v>
      </c>
      <c r="DA53" s="59">
        <f>'Balance Sheet'!DA16</f>
        <v>2695448.692962639</v>
      </c>
      <c r="DB53" s="59">
        <f>'Balance Sheet'!DB16</f>
        <v>2718073.5492344955</v>
      </c>
      <c r="DC53" s="59">
        <f>'Balance Sheet'!DC16</f>
        <v>2739561.9687064053</v>
      </c>
      <c r="DD53" s="59">
        <f>'Balance Sheet'!DD16</f>
        <v>2760551.1268692873</v>
      </c>
      <c r="DE53" s="59">
        <f>'Balance Sheet'!DE16</f>
        <v>2781701.0934991501</v>
      </c>
      <c r="DF53" s="59">
        <f>'Balance Sheet'!DF16</f>
        <v>2801652.74444196</v>
      </c>
      <c r="DG53" s="59">
        <f>'Balance Sheet'!DG16</f>
        <v>2821747.4978828323</v>
      </c>
      <c r="DH53" s="59">
        <f>'Balance Sheet'!DH16</f>
        <v>2842676.6016132673</v>
      </c>
      <c r="DI53" s="59">
        <f>'Balance Sheet'!DI16</f>
        <v>2863760.9380083145</v>
      </c>
      <c r="DJ53" s="59">
        <f>'Balance Sheet'!DJ16</f>
        <v>2885001.6584397899</v>
      </c>
      <c r="DK53" s="59">
        <f>'Balance Sheet'!DK16</f>
        <v>2906399.9228193164</v>
      </c>
      <c r="DL53" s="59">
        <f>'Balance Sheet'!DL16</f>
        <v>2927956.8996616644</v>
      </c>
      <c r="DM53" s="59">
        <f>'Balance Sheet'!DM16</f>
        <v>2949673.766148563</v>
      </c>
      <c r="DN53" s="59">
        <f>'Balance Sheet'!DN16</f>
        <v>2971551.7081929827</v>
      </c>
      <c r="DO53" s="59">
        <f>'Balance Sheet'!DO16</f>
        <v>2993591.9205038948</v>
      </c>
      <c r="DP53" s="59">
        <f>'Balance Sheet'!DP16</f>
        <v>3015795.6066515134</v>
      </c>
      <c r="DQ53" s="59">
        <f>'Balance Sheet'!DQ16</f>
        <v>3038163.9791330192</v>
      </c>
      <c r="DR53" s="59">
        <f>'Balance Sheet'!DR16</f>
        <v>3060698.2594387713</v>
      </c>
      <c r="DS53" s="59">
        <f>'Balance Sheet'!DS16</f>
        <v>3083399.6781190108</v>
      </c>
      <c r="DT53" s="59">
        <f>'Balance Sheet'!DT16</f>
        <v>3106269.4748510579</v>
      </c>
      <c r="DU53" s="59">
        <f>'Balance Sheet'!DU16</f>
        <v>3129308.8985070088</v>
      </c>
      <c r="DV53" s="59">
        <f>'Balance Sheet'!DV16</f>
        <v>3152519.2072219336</v>
      </c>
      <c r="DW53" s="59">
        <f>'Balance Sheet'!DW16</f>
        <v>3175901.6684625801</v>
      </c>
      <c r="DX53" s="59">
        <f>'Balance Sheet'!DX16</f>
        <v>3199457.5590965888</v>
      </c>
    </row>
    <row r="54" spans="1:128">
      <c r="A54" s="64" t="s">
        <v>25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>
        <f>'Balance Sheet'!N17</f>
        <v>14707272.439259203</v>
      </c>
      <c r="O54" s="56">
        <f>'Balance Sheet'!O17</f>
        <v>10656016.299119422</v>
      </c>
      <c r="P54" s="56">
        <f>'Balance Sheet'!P17</f>
        <v>16127296.501264883</v>
      </c>
      <c r="Q54" s="71">
        <f>'Balance Sheet'!Q17</f>
        <v>19637332.888053</v>
      </c>
      <c r="R54" s="71">
        <f>'Balance Sheet'!R17</f>
        <v>19054274.107594464</v>
      </c>
      <c r="S54" s="71">
        <f>'Balance Sheet'!S17</f>
        <v>18538671</v>
      </c>
      <c r="T54" s="603">
        <f>'Balance Sheet'!T17</f>
        <v>23081620</v>
      </c>
      <c r="U54" s="70">
        <f>'Balance Sheet'!U17</f>
        <v>23833852.056751452</v>
      </c>
      <c r="V54" s="70">
        <f>'Balance Sheet'!V17</f>
        <v>24542901.201354083</v>
      </c>
      <c r="W54" s="70">
        <f>'Balance Sheet'!W17</f>
        <v>25279188.237394698</v>
      </c>
      <c r="X54" s="70">
        <f>'Balance Sheet'!X17</f>
        <v>26037563.88451653</v>
      </c>
      <c r="Y54" s="70">
        <f>'Balance Sheet'!Y17</f>
        <v>26818690.801052015</v>
      </c>
      <c r="Z54" s="70">
        <f>'Balance Sheet'!Z17</f>
        <v>27623251.525083572</v>
      </c>
      <c r="AB54" s="61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>
        <f>'Balance Sheet'!BY17</f>
        <v>16647316.496278018</v>
      </c>
      <c r="BZ54" s="60">
        <f>'Balance Sheet'!BZ17</f>
        <v>14779918.566610398</v>
      </c>
      <c r="CA54" s="60">
        <f>'Balance Sheet'!CA17</f>
        <v>13926277.062659638</v>
      </c>
      <c r="CB54" s="60">
        <f>'Balance Sheet'!CB17</f>
        <v>14707272.439259203</v>
      </c>
      <c r="CC54" s="60">
        <f>'Balance Sheet'!CC17</f>
        <v>17390647.916903161</v>
      </c>
      <c r="CD54" s="60">
        <f>'Balance Sheet'!CD17</f>
        <v>16644363.532196397</v>
      </c>
      <c r="CE54" s="60">
        <f>'Balance Sheet'!CE17</f>
        <v>21266185.664537758</v>
      </c>
      <c r="CF54" s="60">
        <f>'Balance Sheet'!CF17</f>
        <v>10656016.299119422</v>
      </c>
      <c r="CG54" s="60">
        <f>'Balance Sheet'!CG17</f>
        <v>16201504.376933441</v>
      </c>
      <c r="CH54" s="60">
        <f>'Balance Sheet'!CH17</f>
        <v>17093344.984648153</v>
      </c>
      <c r="CI54" s="60">
        <f>'Balance Sheet'!CI17</f>
        <v>17586759.712786131</v>
      </c>
      <c r="CJ54" s="60">
        <f>'Balance Sheet'!CJ17</f>
        <v>16127296.501264883</v>
      </c>
      <c r="CK54" s="60">
        <f>'Balance Sheet'!CK17</f>
        <v>20348232.277053241</v>
      </c>
      <c r="CL54" s="60">
        <f>'Balance Sheet'!CL17</f>
        <v>20920377.958346628</v>
      </c>
      <c r="CM54" s="60">
        <f>'Balance Sheet'!CM17</f>
        <v>18505780.412842199</v>
      </c>
      <c r="CN54" s="60">
        <f>'Balance Sheet'!CN17</f>
        <v>19637332.888053</v>
      </c>
      <c r="CO54" s="60">
        <f>'Balance Sheet'!CO17</f>
        <v>21230754.347471248</v>
      </c>
      <c r="CP54" s="60">
        <f>'Balance Sheet'!CP17</f>
        <v>21369245.378512733</v>
      </c>
      <c r="CQ54" s="60">
        <f>'Balance Sheet'!CQ17</f>
        <v>18854852.686392929</v>
      </c>
      <c r="CR54" s="60">
        <f>'Balance Sheet'!CR17</f>
        <v>19054274.107594464</v>
      </c>
      <c r="CS54" s="60">
        <f>'Balance Sheet'!CS17</f>
        <v>19857411</v>
      </c>
      <c r="CT54" s="60">
        <f>'Balance Sheet'!CT17</f>
        <v>19543030</v>
      </c>
      <c r="CU54" s="60">
        <f>'Balance Sheet'!CU17</f>
        <v>20146766</v>
      </c>
      <c r="CV54" s="60">
        <f>'Balance Sheet'!CV17</f>
        <v>18538671</v>
      </c>
      <c r="CW54" s="60">
        <f>'Balance Sheet'!CW17</f>
        <v>21105879</v>
      </c>
      <c r="CX54" s="60">
        <f>'Balance Sheet'!CX17</f>
        <v>21286670</v>
      </c>
      <c r="CY54" s="60">
        <f>'Balance Sheet'!CY17</f>
        <v>22928050</v>
      </c>
      <c r="CZ54" s="60">
        <f>'Balance Sheet'!CZ17</f>
        <v>23081620</v>
      </c>
      <c r="DA54" s="59">
        <f>'Balance Sheet'!DA17</f>
        <v>23271775.244203806</v>
      </c>
      <c r="DB54" s="59">
        <f>'Balance Sheet'!DB17</f>
        <v>23467112.136152711</v>
      </c>
      <c r="DC54" s="59">
        <f>'Balance Sheet'!DC17</f>
        <v>23652637.340030294</v>
      </c>
      <c r="DD54" s="59">
        <f>'Balance Sheet'!DD17</f>
        <v>23833852.056751452</v>
      </c>
      <c r="DE54" s="59">
        <f>'Balance Sheet'!DE17</f>
        <v>24016455.150298595</v>
      </c>
      <c r="DF54" s="59">
        <f>'Balance Sheet'!DF17</f>
        <v>24188712.310193386</v>
      </c>
      <c r="DG54" s="59">
        <f>'Balance Sheet'!DG17</f>
        <v>24362204.978365704</v>
      </c>
      <c r="DH54" s="59">
        <f>'Balance Sheet'!DH17</f>
        <v>24542901.201354083</v>
      </c>
      <c r="DI54" s="59">
        <f>'Balance Sheet'!DI17</f>
        <v>24724937.661198333</v>
      </c>
      <c r="DJ54" s="59">
        <f>'Balance Sheet'!DJ17</f>
        <v>24908324.298531413</v>
      </c>
      <c r="DK54" s="59">
        <f>'Balance Sheet'!DK17</f>
        <v>25093071.127716668</v>
      </c>
      <c r="DL54" s="59">
        <f>'Balance Sheet'!DL17</f>
        <v>25279188.237394698</v>
      </c>
      <c r="DM54" s="59">
        <f>'Balance Sheet'!DM17</f>
        <v>25466685.791034274</v>
      </c>
      <c r="DN54" s="59">
        <f>'Balance Sheet'!DN17</f>
        <v>25655574.027487345</v>
      </c>
      <c r="DO54" s="59">
        <f>'Balance Sheet'!DO17</f>
        <v>25845863.261548158</v>
      </c>
      <c r="DP54" s="59">
        <f>'Balance Sheet'!DP17</f>
        <v>26037563.88451653</v>
      </c>
      <c r="DQ54" s="59">
        <f>'Balance Sheet'!DQ17</f>
        <v>26230686.364765294</v>
      </c>
      <c r="DR54" s="59">
        <f>'Balance Sheet'!DR17</f>
        <v>26425241.248311955</v>
      </c>
      <c r="DS54" s="59">
        <f>'Balance Sheet'!DS17</f>
        <v>26621239.159394592</v>
      </c>
      <c r="DT54" s="59">
        <f>'Balance Sheet'!DT17</f>
        <v>26818690.801052015</v>
      </c>
      <c r="DU54" s="59">
        <f>'Balance Sheet'!DU17</f>
        <v>27017606.955708243</v>
      </c>
      <c r="DV54" s="59">
        <f>'Balance Sheet'!DV17</f>
        <v>27217998.485761307</v>
      </c>
      <c r="DW54" s="59">
        <f>'Balance Sheet'!DW17</f>
        <v>27419876.334176425</v>
      </c>
      <c r="DX54" s="59">
        <f>'Balance Sheet'!DX17</f>
        <v>27623251.525083572</v>
      </c>
    </row>
    <row r="55" spans="1:128">
      <c r="A55" s="64" t="s">
        <v>24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>
        <f>'Balance Sheet'!N25</f>
        <v>396213.04998130002</v>
      </c>
      <c r="O55" s="56">
        <f>'Balance Sheet'!O25</f>
        <v>450139.50307890004</v>
      </c>
      <c r="P55" s="56">
        <f>'Balance Sheet'!P25</f>
        <v>407311.17161527998</v>
      </c>
      <c r="Q55" s="71">
        <f>'Balance Sheet'!Q25</f>
        <v>427023.40096200007</v>
      </c>
      <c r="R55" s="71">
        <f>'Balance Sheet'!R25</f>
        <v>578721.37566619995</v>
      </c>
      <c r="S55" s="71">
        <f>'Balance Sheet'!S25</f>
        <v>468137</v>
      </c>
      <c r="T55" s="603">
        <f>'Balance Sheet'!T25</f>
        <v>457189</v>
      </c>
      <c r="U55" s="70">
        <f>'Balance Sheet'!U25</f>
        <v>119683.28514374999</v>
      </c>
      <c r="V55" s="70">
        <f>'Balance Sheet'!V25</f>
        <v>137635.7779153125</v>
      </c>
      <c r="W55" s="70">
        <f>'Balance Sheet'!W25</f>
        <v>158281.14460260936</v>
      </c>
      <c r="X55" s="70">
        <f>'Balance Sheet'!X25</f>
        <v>182023.31629300071</v>
      </c>
      <c r="Y55" s="70">
        <f>'Balance Sheet'!Y25</f>
        <v>209326.81373695086</v>
      </c>
      <c r="Z55" s="70">
        <f>'Balance Sheet'!Z25</f>
        <v>240725.83579749343</v>
      </c>
      <c r="AB55" s="61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>
        <f>'Balance Sheet'!BY25</f>
        <v>583455.24812677002</v>
      </c>
      <c r="BZ55" s="60">
        <f>'Balance Sheet'!BZ25</f>
        <v>562819.92293099989</v>
      </c>
      <c r="CA55" s="60">
        <f>'Balance Sheet'!CA25</f>
        <v>391323.32530031994</v>
      </c>
      <c r="CB55" s="60">
        <f>'Balance Sheet'!CB25</f>
        <v>396213.04998130002</v>
      </c>
      <c r="CC55" s="60">
        <f>'Balance Sheet'!CC25</f>
        <v>419668.70632683003</v>
      </c>
      <c r="CD55" s="60">
        <f>'Balance Sheet'!CD25</f>
        <v>424929.92637420009</v>
      </c>
      <c r="CE55" s="60">
        <f>'Balance Sheet'!CE25</f>
        <v>406747.91490803997</v>
      </c>
      <c r="CF55" s="60">
        <f>'Balance Sheet'!CF25</f>
        <v>450139.50307890004</v>
      </c>
      <c r="CG55" s="60">
        <f>'Balance Sheet'!CG25</f>
        <v>391344.36199964001</v>
      </c>
      <c r="CH55" s="60">
        <f>'Balance Sheet'!CH25</f>
        <v>347311.40781793004</v>
      </c>
      <c r="CI55" s="60">
        <f>'Balance Sheet'!CI25</f>
        <v>366837.05503364</v>
      </c>
      <c r="CJ55" s="60">
        <f>'Balance Sheet'!CJ25</f>
        <v>407311.17161527998</v>
      </c>
      <c r="CK55" s="60">
        <f>'Balance Sheet'!CK25</f>
        <v>446584.80679049989</v>
      </c>
      <c r="CL55" s="60">
        <f>'Balance Sheet'!CL25</f>
        <v>437602.42023703997</v>
      </c>
      <c r="CM55" s="60">
        <f>'Balance Sheet'!CM25</f>
        <v>378876.28852140001</v>
      </c>
      <c r="CN55" s="60">
        <f>'Balance Sheet'!CN25</f>
        <v>427023.40096200007</v>
      </c>
      <c r="CO55" s="60">
        <f>'Balance Sheet'!CO25</f>
        <v>508660.35075021</v>
      </c>
      <c r="CP55" s="60">
        <f>'Balance Sheet'!CP25</f>
        <v>520865.13906985999</v>
      </c>
      <c r="CQ55" s="60">
        <f>'Balance Sheet'!CQ25</f>
        <v>538696.44718993991</v>
      </c>
      <c r="CR55" s="60">
        <f>'Balance Sheet'!CR25</f>
        <v>578721.37566619995</v>
      </c>
      <c r="CS55" s="60">
        <f>'Balance Sheet'!CS25</f>
        <v>570200</v>
      </c>
      <c r="CT55" s="60">
        <f>'Balance Sheet'!CT25</f>
        <v>491821</v>
      </c>
      <c r="CU55" s="60">
        <f>'Balance Sheet'!CU25</f>
        <v>477182</v>
      </c>
      <c r="CV55" s="60">
        <f>'Balance Sheet'!CV25</f>
        <v>468137</v>
      </c>
      <c r="CW55" s="60">
        <f>'Balance Sheet'!CW25</f>
        <v>455668</v>
      </c>
      <c r="CX55" s="60">
        <f>'Balance Sheet'!CX25</f>
        <v>402426</v>
      </c>
      <c r="CY55" s="60">
        <f>'Balance Sheet'!CY25</f>
        <v>440615</v>
      </c>
      <c r="CZ55" s="60">
        <f>'Balance Sheet'!CZ25</f>
        <v>457189</v>
      </c>
      <c r="DA55" s="59">
        <f>'Balance Sheet'!DA25</f>
        <v>110726.26830000001</v>
      </c>
      <c r="DB55" s="59">
        <f>'Balance Sheet'!DB25</f>
        <v>113448.67379999999</v>
      </c>
      <c r="DC55" s="59">
        <f>'Balance Sheet'!DC25</f>
        <v>116207.62717499999</v>
      </c>
      <c r="DD55" s="59">
        <f>'Balance Sheet'!DD25</f>
        <v>119683.28514374999</v>
      </c>
      <c r="DE55" s="59">
        <f>'Balance Sheet'!DE25</f>
        <v>123899.39751374999</v>
      </c>
      <c r="DF55" s="59">
        <f>'Balance Sheet'!DF25</f>
        <v>128391.36658874998</v>
      </c>
      <c r="DG55" s="59">
        <f>'Balance Sheet'!DG25</f>
        <v>132943.6396575</v>
      </c>
      <c r="DH55" s="59">
        <f>'Balance Sheet'!DH25</f>
        <v>137635.7779153125</v>
      </c>
      <c r="DI55" s="59">
        <f>'Balance Sheet'!DI25</f>
        <v>142484.30714081248</v>
      </c>
      <c r="DJ55" s="59">
        <f>'Balance Sheet'!DJ25</f>
        <v>147650.07157706248</v>
      </c>
      <c r="DK55" s="59">
        <f>'Balance Sheet'!DK25</f>
        <v>152885.18560612499</v>
      </c>
      <c r="DL55" s="59">
        <f>'Balance Sheet'!DL25</f>
        <v>158281.14460260936</v>
      </c>
      <c r="DM55" s="59">
        <f>'Balance Sheet'!DM25</f>
        <v>163856.95321193433</v>
      </c>
      <c r="DN55" s="59">
        <f>'Balance Sheet'!DN25</f>
        <v>169797.58231362185</v>
      </c>
      <c r="DO55" s="59">
        <f>'Balance Sheet'!DO25</f>
        <v>175817.9634470437</v>
      </c>
      <c r="DP55" s="59">
        <f>'Balance Sheet'!DP25</f>
        <v>182023.31629300071</v>
      </c>
      <c r="DQ55" s="59">
        <f>'Balance Sheet'!DQ25</f>
        <v>188435.49619372448</v>
      </c>
      <c r="DR55" s="59">
        <f>'Balance Sheet'!DR25</f>
        <v>195267.21966066508</v>
      </c>
      <c r="DS55" s="59">
        <f>'Balance Sheet'!DS25</f>
        <v>202190.65796410028</v>
      </c>
      <c r="DT55" s="59">
        <f>'Balance Sheet'!DT25</f>
        <v>209326.81373695086</v>
      </c>
      <c r="DU55" s="59">
        <f>'Balance Sheet'!DU25</f>
        <v>216700.82062278315</v>
      </c>
      <c r="DV55" s="59">
        <f>'Balance Sheet'!DV25</f>
        <v>224557.30260976485</v>
      </c>
      <c r="DW55" s="59">
        <f>'Balance Sheet'!DW25</f>
        <v>232519.25665871525</v>
      </c>
      <c r="DX55" s="59">
        <f>'Balance Sheet'!DX25</f>
        <v>240725.83579749343</v>
      </c>
    </row>
    <row r="56" spans="1:128">
      <c r="A56" s="64" t="s">
        <v>23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>
        <f>'Balance Sheet'!N15</f>
        <v>278661.59149780002</v>
      </c>
      <c r="O56" s="56">
        <f>'Balance Sheet'!O15</f>
        <v>197559.86380370997</v>
      </c>
      <c r="P56" s="56">
        <f>'Balance Sheet'!P15</f>
        <v>166330.52591528001</v>
      </c>
      <c r="Q56" s="71">
        <f>'Balance Sheet'!Q15</f>
        <v>256959.4872945</v>
      </c>
      <c r="R56" s="71">
        <f>'Balance Sheet'!R15</f>
        <v>189186.95701425002</v>
      </c>
      <c r="S56" s="71">
        <f>'Balance Sheet'!S15</f>
        <v>167654</v>
      </c>
      <c r="T56" s="603">
        <f>'Balance Sheet'!T15</f>
        <v>222496</v>
      </c>
      <c r="U56" s="70">
        <f>'Balance Sheet'!U15</f>
        <v>229747.16450660612</v>
      </c>
      <c r="V56" s="70">
        <f>'Balance Sheet'!V15</f>
        <v>236582.06597701879</v>
      </c>
      <c r="W56" s="70">
        <f>'Balance Sheet'!W15</f>
        <v>243679.52795632929</v>
      </c>
      <c r="X56" s="70">
        <f>'Balance Sheet'!X15</f>
        <v>250989.91379501909</v>
      </c>
      <c r="Y56" s="70">
        <f>'Balance Sheet'!Y15</f>
        <v>258519.61120886961</v>
      </c>
      <c r="Z56" s="70">
        <f>'Balance Sheet'!Z15</f>
        <v>266275.19954513566</v>
      </c>
      <c r="AB56" s="61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>
        <f>'Balance Sheet'!BY15</f>
        <v>640301.43519585999</v>
      </c>
      <c r="BZ56" s="60">
        <f>'Balance Sheet'!BZ15</f>
        <v>479813.64332020003</v>
      </c>
      <c r="CA56" s="60">
        <f>'Balance Sheet'!CA15</f>
        <v>184289.07525252001</v>
      </c>
      <c r="CB56" s="60">
        <f>'Balance Sheet'!CB15</f>
        <v>278661.59149780002</v>
      </c>
      <c r="CC56" s="60">
        <f>'Balance Sheet'!CC15</f>
        <v>223855.26174710999</v>
      </c>
      <c r="CD56" s="60">
        <f>'Balance Sheet'!CD15</f>
        <v>179029.10846645999</v>
      </c>
      <c r="CE56" s="60">
        <f>'Balance Sheet'!CE15</f>
        <v>161371.05333651</v>
      </c>
      <c r="CF56" s="60">
        <f>'Balance Sheet'!CF15</f>
        <v>197559.86380370997</v>
      </c>
      <c r="CG56" s="60">
        <f>'Balance Sheet'!CG15</f>
        <v>150599.50080052001</v>
      </c>
      <c r="CH56" s="60">
        <f>'Balance Sheet'!CH15</f>
        <v>179839.61862344999</v>
      </c>
      <c r="CI56" s="60">
        <f>'Balance Sheet'!CI15</f>
        <v>233556.72700706002</v>
      </c>
      <c r="CJ56" s="60">
        <f>'Balance Sheet'!CJ15</f>
        <v>166330.52591528001</v>
      </c>
      <c r="CK56" s="60">
        <f>'Balance Sheet'!CK15</f>
        <v>153369.28985846997</v>
      </c>
      <c r="CL56" s="60">
        <f>'Balance Sheet'!CL15</f>
        <v>177158.59385122001</v>
      </c>
      <c r="CM56" s="60">
        <f>'Balance Sheet'!CM15</f>
        <v>128315.80499166001</v>
      </c>
      <c r="CN56" s="60">
        <f>'Balance Sheet'!CN15</f>
        <v>256959.4872945</v>
      </c>
      <c r="CO56" s="60">
        <f>'Balance Sheet'!CO15</f>
        <v>134047.68675681</v>
      </c>
      <c r="CP56" s="60">
        <f>'Balance Sheet'!CP15</f>
        <v>139830.93636485998</v>
      </c>
      <c r="CQ56" s="60">
        <f>'Balance Sheet'!CQ15</f>
        <v>179729.78404316001</v>
      </c>
      <c r="CR56" s="60">
        <f>'Balance Sheet'!CR15</f>
        <v>189186.95701425002</v>
      </c>
      <c r="CS56" s="60">
        <f>'Balance Sheet'!CS15</f>
        <v>135841</v>
      </c>
      <c r="CT56" s="60">
        <f>'Balance Sheet'!CT15</f>
        <v>152901</v>
      </c>
      <c r="CU56" s="60">
        <f>'Balance Sheet'!CU15</f>
        <v>175687</v>
      </c>
      <c r="CV56" s="60">
        <f>'Balance Sheet'!CV15</f>
        <v>167654</v>
      </c>
      <c r="CW56" s="60">
        <f>'Balance Sheet'!CW15</f>
        <v>169480</v>
      </c>
      <c r="CX56" s="60">
        <f>'Balance Sheet'!CX15</f>
        <v>151952</v>
      </c>
      <c r="CY56" s="60">
        <f>'Balance Sheet'!CY15</f>
        <v>201357</v>
      </c>
      <c r="CZ56" s="60">
        <f>'Balance Sheet'!CZ15</f>
        <v>222496</v>
      </c>
      <c r="DA56" s="62">
        <f>'Balance Sheet'!DA15</f>
        <v>224329.00744117482</v>
      </c>
      <c r="DB56" s="62">
        <f>'Balance Sheet'!DB15</f>
        <v>226211.96353832327</v>
      </c>
      <c r="DC56" s="62">
        <f>'Balance Sheet'!DC15</f>
        <v>228000.33956054121</v>
      </c>
      <c r="DD56" s="62">
        <f>'Balance Sheet'!DD15</f>
        <v>229747.16450660612</v>
      </c>
      <c r="DE56" s="62">
        <f>'Balance Sheet'!DE15</f>
        <v>231507.37275463485</v>
      </c>
      <c r="DF56" s="62">
        <f>'Balance Sheet'!DF15</f>
        <v>233167.85105069689</v>
      </c>
      <c r="DG56" s="62">
        <f>'Balance Sheet'!DG15</f>
        <v>234840.23906755479</v>
      </c>
      <c r="DH56" s="62">
        <f>'Balance Sheet'!DH15</f>
        <v>236582.06597701879</v>
      </c>
      <c r="DI56" s="62">
        <f>'Balance Sheet'!DI15</f>
        <v>238336.81214169468</v>
      </c>
      <c r="DJ56" s="62">
        <f>'Balance Sheet'!DJ15</f>
        <v>240104.57338462566</v>
      </c>
      <c r="DK56" s="62">
        <f>'Balance Sheet'!DK15</f>
        <v>241885.44623958136</v>
      </c>
      <c r="DL56" s="62">
        <f>'Balance Sheet'!DL15</f>
        <v>243679.52795632929</v>
      </c>
      <c r="DM56" s="62">
        <f>'Balance Sheet'!DM15</f>
        <v>245486.91650594544</v>
      </c>
      <c r="DN56" s="62">
        <f>'Balance Sheet'!DN15</f>
        <v>247307.71058616435</v>
      </c>
      <c r="DO56" s="62">
        <f>'Balance Sheet'!DO15</f>
        <v>249142.00962676873</v>
      </c>
      <c r="DP56" s="62">
        <f>'Balance Sheet'!DP15</f>
        <v>250989.91379501909</v>
      </c>
      <c r="DQ56" s="62">
        <f>'Balance Sheet'!DQ15</f>
        <v>252851.52400112373</v>
      </c>
      <c r="DR56" s="62">
        <f>'Balance Sheet'!DR15</f>
        <v>254726.94190374922</v>
      </c>
      <c r="DS56" s="62">
        <f>'Balance Sheet'!DS15</f>
        <v>256616.26991557173</v>
      </c>
      <c r="DT56" s="62">
        <f>'Balance Sheet'!DT15</f>
        <v>258519.61120886961</v>
      </c>
      <c r="DU56" s="62">
        <f>'Balance Sheet'!DU15</f>
        <v>260437.0697211574</v>
      </c>
      <c r="DV56" s="62">
        <f>'Balance Sheet'!DV15</f>
        <v>262368.75016086164</v>
      </c>
      <c r="DW56" s="62">
        <f>'Balance Sheet'!DW15</f>
        <v>264314.75801303884</v>
      </c>
      <c r="DX56" s="62">
        <f>'Balance Sheet'!DX15</f>
        <v>266275.19954513566</v>
      </c>
    </row>
    <row r="57" spans="1:128" s="44" customFormat="1" ht="12">
      <c r="A57" s="47" t="s">
        <v>22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>
        <f t="shared" ref="N57:X57" si="151">SUM(N51:N56)</f>
        <v>56937125.951994516</v>
      </c>
      <c r="O57" s="46">
        <f t="shared" si="151"/>
        <v>71013274.732580692</v>
      </c>
      <c r="P57" s="46">
        <f t="shared" si="151"/>
        <v>75359402.245999604</v>
      </c>
      <c r="Q57" s="48">
        <f t="shared" si="151"/>
        <v>92097436.241797477</v>
      </c>
      <c r="R57" s="48">
        <f t="shared" si="151"/>
        <v>102030850.09852841</v>
      </c>
      <c r="S57" s="48">
        <f t="shared" si="151"/>
        <v>121040906</v>
      </c>
      <c r="T57" s="46">
        <f t="shared" si="151"/>
        <v>143103301</v>
      </c>
      <c r="U57" s="45">
        <f t="shared" si="151"/>
        <v>155473752.18945789</v>
      </c>
      <c r="V57" s="45">
        <f t="shared" si="151"/>
        <v>170392557.90500534</v>
      </c>
      <c r="W57" s="45">
        <f t="shared" si="151"/>
        <v>186432101.96915835</v>
      </c>
      <c r="X57" s="45">
        <f t="shared" si="151"/>
        <v>204573451.19383147</v>
      </c>
      <c r="Y57" s="45">
        <f t="shared" ref="Y57:Z57" si="152">SUM(Y51:Y56)</f>
        <v>225688120.42436725</v>
      </c>
      <c r="Z57" s="45">
        <f t="shared" si="152"/>
        <v>250193966.87522998</v>
      </c>
      <c r="AB57" s="47" t="s">
        <v>10</v>
      </c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>
        <f t="shared" ref="BY57:CN57" si="153">SUM(BY51:BY56)</f>
        <v>59162345.779853635</v>
      </c>
      <c r="BZ57" s="46">
        <f t="shared" si="153"/>
        <v>55774684.191685192</v>
      </c>
      <c r="CA57" s="46">
        <f t="shared" si="153"/>
        <v>52951258.667993553</v>
      </c>
      <c r="CB57" s="46">
        <f t="shared" si="153"/>
        <v>56937125.951994516</v>
      </c>
      <c r="CC57" s="46">
        <f t="shared" si="153"/>
        <v>58732367.31726186</v>
      </c>
      <c r="CD57" s="46">
        <f t="shared" si="153"/>
        <v>59935135.712846026</v>
      </c>
      <c r="CE57" s="46">
        <f t="shared" si="153"/>
        <v>66917081.694319107</v>
      </c>
      <c r="CF57" s="46">
        <f t="shared" si="153"/>
        <v>71013274.732580692</v>
      </c>
      <c r="CG57" s="46">
        <f t="shared" si="153"/>
        <v>73995866.354558006</v>
      </c>
      <c r="CH57" s="46">
        <f t="shared" si="153"/>
        <v>72564027.367983356</v>
      </c>
      <c r="CI57" s="46">
        <f t="shared" si="153"/>
        <v>74487652.979201391</v>
      </c>
      <c r="CJ57" s="46">
        <f t="shared" si="153"/>
        <v>75359402.245999604</v>
      </c>
      <c r="CK57" s="46">
        <f t="shared" si="153"/>
        <v>82957979.612328455</v>
      </c>
      <c r="CL57" s="46">
        <f t="shared" si="153"/>
        <v>85502620.300462693</v>
      </c>
      <c r="CM57" s="46">
        <f t="shared" si="153"/>
        <v>86137726.084192634</v>
      </c>
      <c r="CN57" s="46">
        <f t="shared" si="153"/>
        <v>92097436.241797477</v>
      </c>
      <c r="CO57" s="46">
        <f t="shared" ref="CO57" si="154">SUM(CO51:CO56)</f>
        <v>97358080.392826989</v>
      </c>
      <c r="CP57" s="46">
        <f t="shared" ref="CP57:CQ57" si="155">SUM(CP51:CP56)</f>
        <v>98266250.454414129</v>
      </c>
      <c r="CQ57" s="46">
        <f t="shared" si="155"/>
        <v>99612588.411887661</v>
      </c>
      <c r="CR57" s="46">
        <f t="shared" ref="CR57:CS57" si="156">SUM(CR51:CR56)</f>
        <v>102030850.09852841</v>
      </c>
      <c r="CS57" s="46">
        <f t="shared" si="156"/>
        <v>110456626</v>
      </c>
      <c r="CT57" s="46">
        <f t="shared" ref="CT57:CU57" si="157">SUM(CT51:CT56)</f>
        <v>112802074</v>
      </c>
      <c r="CU57" s="46">
        <f t="shared" si="157"/>
        <v>118517069</v>
      </c>
      <c r="CV57" s="46">
        <f t="shared" ref="CV57:CW57" si="158">SUM(CV51:CV56)</f>
        <v>121040906</v>
      </c>
      <c r="CW57" s="46">
        <f t="shared" si="158"/>
        <v>125930557</v>
      </c>
      <c r="CX57" s="46">
        <f t="shared" ref="CX57:CY57" si="159">SUM(CX51:CX56)</f>
        <v>129988906</v>
      </c>
      <c r="CY57" s="46">
        <f t="shared" si="159"/>
        <v>139719681</v>
      </c>
      <c r="CZ57" s="46">
        <f t="shared" ref="CZ57" si="160">SUM(CZ51:CZ56)</f>
        <v>143103301</v>
      </c>
      <c r="DA57" s="45">
        <f t="shared" ref="DA57:DP57" si="161">SUM(DA51:DA56)</f>
        <v>149740907.41377649</v>
      </c>
      <c r="DB57" s="45">
        <f t="shared" si="161"/>
        <v>148926379.28873259</v>
      </c>
      <c r="DC57" s="45">
        <f t="shared" si="161"/>
        <v>155703001.46705881</v>
      </c>
      <c r="DD57" s="45">
        <f t="shared" si="161"/>
        <v>155473752.18945789</v>
      </c>
      <c r="DE57" s="45">
        <f t="shared" si="161"/>
        <v>162317451.10279211</v>
      </c>
      <c r="DF57" s="45">
        <f t="shared" si="161"/>
        <v>162844182.41222078</v>
      </c>
      <c r="DG57" s="45">
        <f>SUM(DG51:DG56)</f>
        <v>169809741.85965556</v>
      </c>
      <c r="DH57" s="45">
        <f t="shared" si="161"/>
        <v>170392557.90500534</v>
      </c>
      <c r="DI57" s="45">
        <f t="shared" si="161"/>
        <v>177088309.69104305</v>
      </c>
      <c r="DJ57" s="45">
        <f t="shared" si="161"/>
        <v>178289902.26297179</v>
      </c>
      <c r="DK57" s="45">
        <f t="shared" si="161"/>
        <v>185091871.40814564</v>
      </c>
      <c r="DL57" s="45">
        <f t="shared" si="161"/>
        <v>186432101.96915835</v>
      </c>
      <c r="DM57" s="45">
        <f t="shared" si="161"/>
        <v>193133449.25883123</v>
      </c>
      <c r="DN57" s="45">
        <f t="shared" si="161"/>
        <v>195339530.39797994</v>
      </c>
      <c r="DO57" s="45">
        <f t="shared" si="161"/>
        <v>202142231.78515112</v>
      </c>
      <c r="DP57" s="45">
        <f t="shared" si="161"/>
        <v>204573451.19383147</v>
      </c>
      <c r="DQ57" s="45">
        <f t="shared" ref="DQ57:DT57" si="162">SUM(DQ51:DQ56)</f>
        <v>211227918.15612897</v>
      </c>
      <c r="DR57" s="45">
        <f t="shared" si="162"/>
        <v>214697107.95226407</v>
      </c>
      <c r="DS57" s="45">
        <f t="shared" si="162"/>
        <v>221293065.47324735</v>
      </c>
      <c r="DT57" s="45">
        <f t="shared" si="162"/>
        <v>225688120.42436725</v>
      </c>
      <c r="DU57" s="45">
        <f t="shared" ref="DU57:DX57" si="163">SUM(DU51:DU56)</f>
        <v>231854929.47904772</v>
      </c>
      <c r="DV57" s="45">
        <f t="shared" si="163"/>
        <v>237460541.21743479</v>
      </c>
      <c r="DW57" s="45">
        <f t="shared" si="163"/>
        <v>243607188.57573158</v>
      </c>
      <c r="DX57" s="45">
        <f t="shared" si="163"/>
        <v>250193966.87522998</v>
      </c>
    </row>
    <row r="58" spans="1:128">
      <c r="A58" s="57" t="s">
        <v>9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>
        <f t="shared" ref="N58:O58" si="164">+AVERAGE(M57:N57)</f>
        <v>56937125.951994516</v>
      </c>
      <c r="O58" s="56">
        <f t="shared" si="164"/>
        <v>63975200.3422876</v>
      </c>
      <c r="P58" s="56">
        <f t="shared" ref="P58:Z58" si="165">+AVERAGE(L57:O57)</f>
        <v>63975200.3422876</v>
      </c>
      <c r="Q58" s="58">
        <f t="shared" si="165"/>
        <v>67769934.310191602</v>
      </c>
      <c r="R58" s="58">
        <f t="shared" si="165"/>
        <v>73851809.79309307</v>
      </c>
      <c r="S58" s="58">
        <f t="shared" si="165"/>
        <v>85125240.829726547</v>
      </c>
      <c r="T58" s="56">
        <f t="shared" si="165"/>
        <v>97632148.646581382</v>
      </c>
      <c r="U58" s="55">
        <f t="shared" si="165"/>
        <v>114568123.33508147</v>
      </c>
      <c r="V58" s="55">
        <f t="shared" si="165"/>
        <v>130412202.32199657</v>
      </c>
      <c r="W58" s="55">
        <f t="shared" si="165"/>
        <v>147502629.27361581</v>
      </c>
      <c r="X58" s="55">
        <f t="shared" si="165"/>
        <v>163850428.26590538</v>
      </c>
      <c r="Y58" s="55">
        <f t="shared" si="165"/>
        <v>179217965.81436327</v>
      </c>
      <c r="Z58" s="55">
        <f t="shared" si="165"/>
        <v>196771557.87309062</v>
      </c>
      <c r="AB58" s="57" t="s">
        <v>9</v>
      </c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>
        <f t="shared" ref="BY58:CN58" si="166">+AVERAGE(BX57:BY57)</f>
        <v>59162345.779853635</v>
      </c>
      <c r="BZ58" s="56">
        <f t="shared" si="166"/>
        <v>57468514.985769413</v>
      </c>
      <c r="CA58" s="56">
        <f t="shared" si="166"/>
        <v>54362971.429839373</v>
      </c>
      <c r="CB58" s="56">
        <f t="shared" si="166"/>
        <v>54944192.309994034</v>
      </c>
      <c r="CC58" s="56">
        <f t="shared" si="166"/>
        <v>57834746.634628192</v>
      </c>
      <c r="CD58" s="56">
        <f t="shared" si="166"/>
        <v>59333751.515053943</v>
      </c>
      <c r="CE58" s="56">
        <f t="shared" si="166"/>
        <v>63426108.70358257</v>
      </c>
      <c r="CF58" s="56">
        <f t="shared" si="166"/>
        <v>68965178.213449895</v>
      </c>
      <c r="CG58" s="56">
        <f t="shared" si="166"/>
        <v>72504570.543569356</v>
      </c>
      <c r="CH58" s="56">
        <f t="shared" si="166"/>
        <v>73279946.861270681</v>
      </c>
      <c r="CI58" s="56">
        <f t="shared" si="166"/>
        <v>73525840.173592374</v>
      </c>
      <c r="CJ58" s="56">
        <f t="shared" si="166"/>
        <v>74923527.612600505</v>
      </c>
      <c r="CK58" s="56">
        <f t="shared" si="166"/>
        <v>79158690.929164022</v>
      </c>
      <c r="CL58" s="56">
        <f t="shared" si="166"/>
        <v>84230299.956395566</v>
      </c>
      <c r="CM58" s="56">
        <f t="shared" si="166"/>
        <v>85820173.192327663</v>
      </c>
      <c r="CN58" s="56">
        <f t="shared" si="166"/>
        <v>89117581.162995055</v>
      </c>
      <c r="CO58" s="56">
        <f t="shared" ref="CO58:CW58" si="167">+AVERAGE(CN57:CO57)</f>
        <v>94727758.317312241</v>
      </c>
      <c r="CP58" s="56">
        <f t="shared" si="167"/>
        <v>97812165.423620552</v>
      </c>
      <c r="CQ58" s="56">
        <f t="shared" si="167"/>
        <v>98939419.433150887</v>
      </c>
      <c r="CR58" s="56">
        <f t="shared" si="167"/>
        <v>100821719.25520805</v>
      </c>
      <c r="CS58" s="56">
        <f t="shared" si="167"/>
        <v>106243738.04926421</v>
      </c>
      <c r="CT58" s="56">
        <f t="shared" si="167"/>
        <v>111629350</v>
      </c>
      <c r="CU58" s="56">
        <f t="shared" si="167"/>
        <v>115659571.5</v>
      </c>
      <c r="CV58" s="56">
        <f t="shared" si="167"/>
        <v>119778987.5</v>
      </c>
      <c r="CW58" s="56">
        <f t="shared" si="167"/>
        <v>123485731.5</v>
      </c>
      <c r="CX58" s="56">
        <f t="shared" ref="CX58" si="168">+AVERAGE(CW57:CX57)</f>
        <v>127959731.5</v>
      </c>
      <c r="CY58" s="56">
        <f t="shared" ref="CY58:CZ58" si="169">+AVERAGE(CX57:CY57)</f>
        <v>134854293.5</v>
      </c>
      <c r="CZ58" s="56">
        <f t="shared" si="169"/>
        <v>141411491</v>
      </c>
      <c r="DA58" s="55">
        <f t="shared" ref="DA58" si="170">+AVERAGE(CZ57:DA57)</f>
        <v>146422104.20688826</v>
      </c>
      <c r="DB58" s="55">
        <f t="shared" ref="DB58" si="171">+AVERAGE(DA57:DB57)</f>
        <v>149333643.35125452</v>
      </c>
      <c r="DC58" s="55">
        <f t="shared" ref="DC58" si="172">+AVERAGE(DB57:DC57)</f>
        <v>152314690.37789571</v>
      </c>
      <c r="DD58" s="55">
        <f t="shared" ref="DD58" si="173">+AVERAGE(DC57:DD57)</f>
        <v>155588376.82825834</v>
      </c>
      <c r="DE58" s="55">
        <f t="shared" ref="DE58" si="174">+AVERAGE(DD57:DE57)</f>
        <v>158895601.64612502</v>
      </c>
      <c r="DF58" s="55">
        <f t="shared" ref="DF58" si="175">+AVERAGE(DE57:DF57)</f>
        <v>162580816.75750643</v>
      </c>
      <c r="DG58" s="55">
        <f t="shared" ref="DG58" si="176">+AVERAGE(DF57:DG57)</f>
        <v>166326962.13593817</v>
      </c>
      <c r="DH58" s="55">
        <f t="shared" ref="DH58" si="177">+AVERAGE(DG57:DH57)</f>
        <v>170101149.88233045</v>
      </c>
      <c r="DI58" s="55">
        <f t="shared" ref="DI58" si="178">+AVERAGE(DH57:DI57)</f>
        <v>173740433.79802418</v>
      </c>
      <c r="DJ58" s="55">
        <f t="shared" ref="DJ58" si="179">+AVERAGE(DI57:DJ57)</f>
        <v>177689105.97700742</v>
      </c>
      <c r="DK58" s="55">
        <f t="shared" ref="DK58" si="180">+AVERAGE(DJ57:DK57)</f>
        <v>181690886.83555871</v>
      </c>
      <c r="DL58" s="55">
        <f t="shared" ref="DL58" si="181">+AVERAGE(DK57:DL57)</f>
        <v>185761986.68865198</v>
      </c>
      <c r="DM58" s="55">
        <f t="shared" ref="DM58" si="182">+AVERAGE(DL57:DM57)</f>
        <v>189782775.61399478</v>
      </c>
      <c r="DN58" s="55">
        <f t="shared" ref="DN58" si="183">+AVERAGE(DM57:DN57)</f>
        <v>194236489.82840559</v>
      </c>
      <c r="DO58" s="55">
        <f t="shared" ref="DO58" si="184">+AVERAGE(DN57:DO57)</f>
        <v>198740881.09156555</v>
      </c>
      <c r="DP58" s="55">
        <f t="shared" ref="DP58" si="185">+AVERAGE(DO57:DP57)</f>
        <v>203357841.48949128</v>
      </c>
      <c r="DQ58" s="55">
        <f t="shared" ref="DQ58" si="186">+AVERAGE(DP57:DQ57)</f>
        <v>207900684.67498022</v>
      </c>
      <c r="DR58" s="55">
        <f t="shared" ref="DR58" si="187">+AVERAGE(DQ57:DR57)</f>
        <v>212962513.05419654</v>
      </c>
      <c r="DS58" s="55">
        <f t="shared" ref="DS58" si="188">+AVERAGE(DR57:DS57)</f>
        <v>217995086.71275571</v>
      </c>
      <c r="DT58" s="55">
        <f t="shared" ref="DT58" si="189">+AVERAGE(DS57:DT57)</f>
        <v>223490592.9488073</v>
      </c>
      <c r="DU58" s="55">
        <f t="shared" ref="DU58" si="190">+AVERAGE(DT57:DU57)</f>
        <v>228771524.95170748</v>
      </c>
      <c r="DV58" s="55">
        <f t="shared" ref="DV58" si="191">+AVERAGE(DU57:DV57)</f>
        <v>234657735.34824127</v>
      </c>
      <c r="DW58" s="55">
        <f t="shared" ref="DW58" si="192">+AVERAGE(DV57:DW57)</f>
        <v>240533864.8965832</v>
      </c>
      <c r="DX58" s="55">
        <f t="shared" ref="DX58" si="193">+AVERAGE(DW57:DX57)</f>
        <v>246900577.72548079</v>
      </c>
    </row>
    <row r="59" spans="1:128" s="49" customFormat="1">
      <c r="A59" s="69" t="s">
        <v>21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>
        <f t="shared" ref="N59:X59" si="194">+N60/N58</f>
        <v>6.970149199233612E-2</v>
      </c>
      <c r="O59" s="51">
        <f t="shared" si="194"/>
        <v>6.3932309492754108E-2</v>
      </c>
      <c r="P59" s="51">
        <f t="shared" si="194"/>
        <v>7.9018720203291135E-2</v>
      </c>
      <c r="Q59" s="53">
        <f t="shared" si="194"/>
        <v>8.9704587759572435E-2</v>
      </c>
      <c r="R59" s="53">
        <f t="shared" si="194"/>
        <v>9.5109785804073921E-2</v>
      </c>
      <c r="S59" s="53">
        <f t="shared" si="194"/>
        <v>0.10046965995793558</v>
      </c>
      <c r="T59" s="51">
        <f t="shared" si="194"/>
        <v>0.10266029314055208</v>
      </c>
      <c r="U59" s="50">
        <f t="shared" si="194"/>
        <v>0.1054188709340154</v>
      </c>
      <c r="V59" s="50">
        <f t="shared" si="194"/>
        <v>0.1013998503480936</v>
      </c>
      <c r="W59" s="50">
        <f t="shared" si="194"/>
        <v>9.7253946665980959E-2</v>
      </c>
      <c r="X59" s="50">
        <f t="shared" si="194"/>
        <v>9.5971811888621986E-2</v>
      </c>
      <c r="Y59" s="50">
        <f t="shared" ref="Y59:Z59" si="195">+Y60/Y58</f>
        <v>9.6762312305372605E-2</v>
      </c>
      <c r="Z59" s="50">
        <f t="shared" si="195"/>
        <v>9.7786118985106751E-2</v>
      </c>
      <c r="AB59" s="68" t="s">
        <v>20</v>
      </c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>
        <f t="shared" ref="BY59:CB59" si="196">+BY60/BY58</f>
        <v>1.7592052529275405E-2</v>
      </c>
      <c r="BZ59" s="51">
        <f t="shared" si="196"/>
        <v>1.7903791036854893E-2</v>
      </c>
      <c r="CA59" s="51">
        <f t="shared" si="196"/>
        <v>1.738925047457493E-2</v>
      </c>
      <c r="CB59" s="51">
        <f t="shared" si="196"/>
        <v>1.7355427090017861E-2</v>
      </c>
      <c r="CC59" s="51">
        <f>Assumptions!CC21</f>
        <v>1.6385206525741741E-2</v>
      </c>
      <c r="CD59" s="51">
        <f>Assumptions!CD21</f>
        <v>1.6465822373953286E-2</v>
      </c>
      <c r="CE59" s="51">
        <f>Assumptions!CE21</f>
        <v>1.6546912598602154E-2</v>
      </c>
      <c r="CF59" s="51">
        <f>Assumptions!CF21</f>
        <v>1.6181539418386213E-2</v>
      </c>
      <c r="CG59" s="51">
        <f>Assumptions!CG21</f>
        <v>1.6553855727078466E-2</v>
      </c>
      <c r="CH59" s="51">
        <f>Assumptions!CH21</f>
        <v>1.6719551562501021E-2</v>
      </c>
      <c r="CI59" s="51">
        <f>Assumptions!CI21</f>
        <v>1.7407806979656906E-2</v>
      </c>
      <c r="CJ59" s="51">
        <f>Assumptions!CJ21</f>
        <v>1.8016727384233846E-2</v>
      </c>
      <c r="CK59" s="51">
        <f>Assumptions!CK21</f>
        <v>1.7745723595924363E-2</v>
      </c>
      <c r="CL59" s="51">
        <f>Assumptions!CL21</f>
        <v>1.7763690025300115E-2</v>
      </c>
      <c r="CM59" s="51">
        <f>Assumptions!CM21</f>
        <v>1.8217950458393667E-2</v>
      </c>
      <c r="CN59" s="51">
        <f>Assumptions!CN21</f>
        <v>1.8120298447949594E-2</v>
      </c>
      <c r="CO59" s="51">
        <f>Assumptions!CO21</f>
        <v>1.7595196190914691E-2</v>
      </c>
      <c r="CP59" s="51">
        <f>Assumptions!CP21</f>
        <v>1.7578122039665172E-2</v>
      </c>
      <c r="CQ59" s="51">
        <f>Assumptions!CQ21</f>
        <v>1.8313974590192027E-2</v>
      </c>
      <c r="CR59" s="51">
        <f>Assumptions!CR21</f>
        <v>1.8110662440463336E-2</v>
      </c>
      <c r="CS59" s="51">
        <f>Assumptions!CS21</f>
        <v>1.7659205468938163E-2</v>
      </c>
      <c r="CT59" s="51">
        <f>Assumptions!CT21</f>
        <v>1.9213020590015083E-2</v>
      </c>
      <c r="CU59" s="51">
        <f>Assumptions!CU21</f>
        <v>1.9444443471762302E-2</v>
      </c>
      <c r="CV59" s="51">
        <f>Assumptions!CV21</f>
        <v>1.9057190644561094E-2</v>
      </c>
      <c r="CW59" s="51">
        <f>Assumptions!CW21</f>
        <v>1.9250944794378937E-2</v>
      </c>
      <c r="CX59" s="51">
        <f>Assumptions!CX21</f>
        <v>1.9205424794127519E-2</v>
      </c>
      <c r="CY59" s="51">
        <f>Assumptions!CY21</f>
        <v>1.867173773002637E-2</v>
      </c>
      <c r="CZ59" s="51">
        <f>Assumptions!CZ21</f>
        <v>1.8882786548088937E-2</v>
      </c>
      <c r="DA59" s="50">
        <f>Assumptions!DA21</f>
        <v>1.9459387854738001E-2</v>
      </c>
      <c r="DB59" s="50">
        <f>Assumptions!DB21</f>
        <v>1.9820908089427502E-2</v>
      </c>
      <c r="DC59" s="50">
        <f>Assumptions!DC21</f>
        <v>2.0247542247730323E-2</v>
      </c>
      <c r="DD59" s="50">
        <f>Assumptions!DD21</f>
        <v>2.0467024643869652E-2</v>
      </c>
      <c r="DE59" s="50">
        <f>Assumptions!DE21</f>
        <v>2.0308520094899953E-2</v>
      </c>
      <c r="DF59" s="50">
        <f>Assumptions!DF21</f>
        <v>2.0071809687063773E-2</v>
      </c>
      <c r="DG59" s="50">
        <f>Assumptions!DG21</f>
        <v>2.0031872005129594E-2</v>
      </c>
      <c r="DH59" s="50">
        <f>Assumptions!DH21</f>
        <v>1.9998169636796549E-2</v>
      </c>
      <c r="DI59" s="50">
        <f>Assumptions!DI21</f>
        <v>1.9844864841646326E-2</v>
      </c>
      <c r="DJ59" s="50">
        <f>Assumptions!DJ21</f>
        <v>1.9968989642843837E-2</v>
      </c>
      <c r="DK59" s="50">
        <f>Assumptions!DK21</f>
        <v>1.9948641646353637E-2</v>
      </c>
      <c r="DL59" s="50">
        <f>Assumptions!DL21</f>
        <v>2.0050383675473137E-2</v>
      </c>
      <c r="DM59" s="50">
        <f>Assumptions!DM21</f>
        <v>2.0004393791309406E-2</v>
      </c>
      <c r="DN59" s="50">
        <f>Assumptions!DN21</f>
        <v>2.0006853680686408E-2</v>
      </c>
      <c r="DO59" s="50">
        <f>Assumptions!DO21</f>
        <v>1.9979399248685019E-2</v>
      </c>
      <c r="DP59" s="50">
        <f>Assumptions!DP21</f>
        <v>2.0022580046981375E-2</v>
      </c>
      <c r="DQ59" s="50">
        <f>Assumptions!DQ21</f>
        <v>2.0035457414604944E-2</v>
      </c>
      <c r="DR59" s="50">
        <f>Assumptions!DR21</f>
        <v>2.0099689957172852E-2</v>
      </c>
      <c r="DS59" s="50">
        <f>Assumptions!DS21</f>
        <v>2.0130846466416216E-2</v>
      </c>
      <c r="DT59" s="50">
        <f>Assumptions!DT21</f>
        <v>2.0167530539799319E-2</v>
      </c>
      <c r="DU59" s="50">
        <f>Assumptions!DU21</f>
        <v>2.0173264328746932E-2</v>
      </c>
      <c r="DV59" s="50">
        <f>Assumptions!DV21</f>
        <v>2.0230644948372973E-2</v>
      </c>
      <c r="DW59" s="50">
        <f>Assumptions!DW21</f>
        <v>2.0253719018997508E-2</v>
      </c>
      <c r="DX59" s="50">
        <f>Assumptions!DX21</f>
        <v>2.0281345353921024E-2</v>
      </c>
    </row>
    <row r="60" spans="1:128" s="44" customFormat="1" ht="12">
      <c r="A60" s="47" t="s">
        <v>19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>
        <f>SUM(BY60:CB60)</f>
        <v>3968602.6286095791</v>
      </c>
      <c r="O60" s="46">
        <f>SUM(CC60:CF60)</f>
        <v>4090082.3081440795</v>
      </c>
      <c r="P60" s="46">
        <f>SUM(CG60:CJ60)</f>
        <v>5055238.4557967195</v>
      </c>
      <c r="Q60" s="48">
        <f>SUM(CK60:CN60)</f>
        <v>6079274.019789042</v>
      </c>
      <c r="R60" s="48">
        <f>SUM(CO60:CR60)</f>
        <v>7024029.8106642906</v>
      </c>
      <c r="S60" s="48">
        <f>SUM(CS60:CV60)</f>
        <v>8552504</v>
      </c>
      <c r="T60" s="46">
        <f>SUM(CW60:CZ60)</f>
        <v>10022945</v>
      </c>
      <c r="U60" s="45">
        <f>SUM(DA60:DD60)</f>
        <v>12077642.207013313</v>
      </c>
      <c r="V60" s="45">
        <f>SUM(DE60:DH60)</f>
        <v>13223777.799015757</v>
      </c>
      <c r="W60" s="45">
        <f>SUM(DI60:DL60)</f>
        <v>14345212.840468192</v>
      </c>
      <c r="X60" s="45">
        <f>SUM(DM60:DP60)</f>
        <v>15725022.479405621</v>
      </c>
      <c r="Y60" s="45">
        <f>SUM(DQ60:DT60)</f>
        <v>17341544.778863009</v>
      </c>
      <c r="Z60" s="45">
        <f>SUM(DU60:DX60)</f>
        <v>19241526.971062858</v>
      </c>
      <c r="AB60" s="47" t="s">
        <v>18</v>
      </c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>
        <f t="shared" ref="BY60:CO60" si="197">BY11</f>
        <v>1040787.0947143402</v>
      </c>
      <c r="BZ60" s="46">
        <f t="shared" si="197"/>
        <v>1028904.2835035796</v>
      </c>
      <c r="CA60" s="46">
        <f t="shared" si="197"/>
        <v>945331.32673563762</v>
      </c>
      <c r="CB60" s="46">
        <f t="shared" si="197"/>
        <v>953579.92365602148</v>
      </c>
      <c r="CC60" s="46">
        <f t="shared" si="197"/>
        <v>947634.2679723301</v>
      </c>
      <c r="CD60" s="46">
        <f t="shared" si="197"/>
        <v>976979.01322715986</v>
      </c>
      <c r="CE60" s="46">
        <f t="shared" si="197"/>
        <v>1049506.2771876203</v>
      </c>
      <c r="CF60" s="46">
        <f t="shared" si="197"/>
        <v>1115962.7497569695</v>
      </c>
      <c r="CG60" s="46">
        <f t="shared" si="197"/>
        <v>1200230.2003320302</v>
      </c>
      <c r="CH60" s="46">
        <f t="shared" si="197"/>
        <v>1225207.8500443499</v>
      </c>
      <c r="CI60" s="46">
        <f t="shared" si="197"/>
        <v>1279923.6337589994</v>
      </c>
      <c r="CJ60" s="46">
        <f t="shared" si="197"/>
        <v>1349876.7716613403</v>
      </c>
      <c r="CK60" s="46">
        <f t="shared" si="197"/>
        <v>1404728.2494441499</v>
      </c>
      <c r="CL60" s="46">
        <f t="shared" si="197"/>
        <v>1496240.9391634606</v>
      </c>
      <c r="CM60" s="46">
        <f t="shared" si="197"/>
        <v>1563467.6635485897</v>
      </c>
      <c r="CN60" s="46">
        <f t="shared" si="197"/>
        <v>1614837.1676328413</v>
      </c>
      <c r="CO60" s="46">
        <f t="shared" si="197"/>
        <v>1666753.4923186598</v>
      </c>
      <c r="CP60" s="46">
        <f t="shared" ref="CP60:CQ60" si="198">CP11</f>
        <v>1719354.18078032</v>
      </c>
      <c r="CQ60" s="46">
        <f t="shared" si="198"/>
        <v>1811974.0134670765</v>
      </c>
      <c r="CR60" s="46">
        <f t="shared" ref="CR60:CS60" si="199">CR11</f>
        <v>1825948.1240982353</v>
      </c>
      <c r="CS60" s="46">
        <f t="shared" si="199"/>
        <v>1876180</v>
      </c>
      <c r="CT60" s="46">
        <f t="shared" ref="CT60:CU60" si="200">CT11</f>
        <v>2144737</v>
      </c>
      <c r="CU60" s="46">
        <f t="shared" si="200"/>
        <v>2248936</v>
      </c>
      <c r="CV60" s="46">
        <f t="shared" ref="CV60:CW60" si="201">CV11</f>
        <v>2282651</v>
      </c>
      <c r="CW60" s="46">
        <f t="shared" si="201"/>
        <v>2377217</v>
      </c>
      <c r="CX60" s="46">
        <f t="shared" ref="CX60:CY60" si="202">CX11</f>
        <v>2457521</v>
      </c>
      <c r="CY60" s="46">
        <f t="shared" si="202"/>
        <v>2517964</v>
      </c>
      <c r="CZ60" s="46">
        <f t="shared" ref="CZ60" si="203">CZ11</f>
        <v>2670243</v>
      </c>
      <c r="DA60" s="45">
        <f t="shared" ref="DA60:DP60" si="204">+DA59*DA58</f>
        <v>2849284.5162687032</v>
      </c>
      <c r="DB60" s="45">
        <f t="shared" si="204"/>
        <v>2959928.4195245621</v>
      </c>
      <c r="DC60" s="45">
        <f t="shared" si="204"/>
        <v>3083998.1283764066</v>
      </c>
      <c r="DD60" s="45">
        <f t="shared" si="204"/>
        <v>3184431.1428436413</v>
      </c>
      <c r="DE60" s="45">
        <f t="shared" si="204"/>
        <v>3226934.5190215479</v>
      </c>
      <c r="DF60" s="45">
        <f t="shared" si="204"/>
        <v>3263291.212724058</v>
      </c>
      <c r="DG60" s="45">
        <f t="shared" si="204"/>
        <v>3331840.4165091496</v>
      </c>
      <c r="DH60" s="45">
        <f t="shared" si="204"/>
        <v>3401711.6507609999</v>
      </c>
      <c r="DI60" s="45">
        <f t="shared" si="204"/>
        <v>3447855.4262507912</v>
      </c>
      <c r="DJ60" s="45">
        <f t="shared" si="204"/>
        <v>3548271.9169010422</v>
      </c>
      <c r="DK60" s="45">
        <f t="shared" si="204"/>
        <v>3624486.3918907521</v>
      </c>
      <c r="DL60" s="45">
        <f t="shared" si="204"/>
        <v>3724599.105425606</v>
      </c>
      <c r="DM60" s="45">
        <f t="shared" si="204"/>
        <v>3796489.3781900634</v>
      </c>
      <c r="DN60" s="45">
        <f t="shared" si="204"/>
        <v>3886061.0314470446</v>
      </c>
      <c r="DO60" s="45">
        <f t="shared" si="204"/>
        <v>3970723.4103638236</v>
      </c>
      <c r="DP60" s="45">
        <f t="shared" si="204"/>
        <v>4071748.6594046894</v>
      </c>
      <c r="DQ60" s="45">
        <f t="shared" ref="DQ60:DT60" si="205">+DQ59*DQ58</f>
        <v>4165385.3142727767</v>
      </c>
      <c r="DR60" s="45">
        <f t="shared" si="205"/>
        <v>4280480.4848897262</v>
      </c>
      <c r="DS60" s="45">
        <f t="shared" si="205"/>
        <v>4388425.621047575</v>
      </c>
      <c r="DT60" s="45">
        <f t="shared" si="205"/>
        <v>4507253.3586529298</v>
      </c>
      <c r="DU60" s="45">
        <f t="shared" ref="DU60:DX60" si="206">+DU59*DU58</f>
        <v>4615068.4437413197</v>
      </c>
      <c r="DV60" s="45">
        <f t="shared" si="206"/>
        <v>4747277.3282195395</v>
      </c>
      <c r="DW60" s="45">
        <f t="shared" si="206"/>
        <v>4871705.314168904</v>
      </c>
      <c r="DX60" s="45">
        <f t="shared" si="206"/>
        <v>5007475.8849330964</v>
      </c>
    </row>
    <row r="61" spans="1:128">
      <c r="A61" s="41"/>
      <c r="B61" s="4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43"/>
      <c r="R61" s="43"/>
      <c r="S61" s="43"/>
      <c r="T61" s="37"/>
      <c r="U61" s="42"/>
      <c r="V61" s="42"/>
      <c r="W61" s="42"/>
      <c r="X61" s="42"/>
      <c r="Y61" s="42"/>
      <c r="Z61" s="42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</row>
    <row r="62" spans="1:128">
      <c r="A62" s="67" t="s">
        <v>17</v>
      </c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66"/>
      <c r="R62" s="66"/>
      <c r="S62" s="66"/>
      <c r="T62" s="604"/>
      <c r="U62" s="65"/>
      <c r="V62" s="65"/>
      <c r="W62" s="65"/>
      <c r="X62" s="65"/>
      <c r="Y62" s="65"/>
      <c r="Z62" s="65"/>
      <c r="AB62" s="61" t="s">
        <v>16</v>
      </c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</row>
    <row r="63" spans="1:128">
      <c r="A63" s="64" t="s">
        <v>15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>
        <f>'Balance Sheet'!N36</f>
        <v>31194178.372656595</v>
      </c>
      <c r="O63" s="56">
        <f>'Balance Sheet'!O36</f>
        <v>38552835.629882984</v>
      </c>
      <c r="P63" s="56">
        <f>'Balance Sheet'!P36</f>
        <v>36659845.586587362</v>
      </c>
      <c r="Q63" s="63">
        <f>'Balance Sheet'!Q36</f>
        <v>44410891.000651494</v>
      </c>
      <c r="R63" s="63">
        <f>'Balance Sheet'!R36</f>
        <v>50013448.505096704</v>
      </c>
      <c r="S63" s="63">
        <f>'Balance Sheet'!S36</f>
        <v>56585901</v>
      </c>
      <c r="T63" s="60">
        <f>'Balance Sheet'!T36</f>
        <v>66281952</v>
      </c>
      <c r="U63" s="62">
        <f ca="1">'Balance Sheet'!U36</f>
        <v>76976722.573026404</v>
      </c>
      <c r="V63" s="62">
        <f ca="1">'Balance Sheet'!V36</f>
        <v>86092419.45679161</v>
      </c>
      <c r="W63" s="62">
        <f ca="1">'Balance Sheet'!W36</f>
        <v>95189346.428154469</v>
      </c>
      <c r="X63" s="62">
        <f ca="1">'Balance Sheet'!X36</f>
        <v>105555077.64336766</v>
      </c>
      <c r="Y63" s="62">
        <f ca="1">'Balance Sheet'!Y36</f>
        <v>118075906.73692155</v>
      </c>
      <c r="Z63" s="62">
        <f ca="1">'Balance Sheet'!Z36</f>
        <v>133061756.22388169</v>
      </c>
      <c r="AB63" s="61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>
        <f>'Balance Sheet'!BY36</f>
        <v>28810899.806128398</v>
      </c>
      <c r="BZ63" s="60">
        <f>'Balance Sheet'!BZ36</f>
        <v>29196224.499897696</v>
      </c>
      <c r="CA63" s="60">
        <f>'Balance Sheet'!CA36</f>
        <v>29445903.380925074</v>
      </c>
      <c r="CB63" s="60">
        <f>'Balance Sheet'!CB36</f>
        <v>31194178.372656595</v>
      </c>
      <c r="CC63" s="60">
        <f>'Balance Sheet'!CC36</f>
        <v>31212008.937098652</v>
      </c>
      <c r="CD63" s="60">
        <f>'Balance Sheet'!CD36</f>
        <v>31426330.121686079</v>
      </c>
      <c r="CE63" s="60">
        <f>'Balance Sheet'!CE36</f>
        <v>35086437.469868936</v>
      </c>
      <c r="CF63" s="60">
        <f>'Balance Sheet'!CF36</f>
        <v>38552835.629882984</v>
      </c>
      <c r="CG63" s="60">
        <f>'Balance Sheet'!CG36</f>
        <v>36953329.700339876</v>
      </c>
      <c r="CH63" s="60">
        <f>'Balance Sheet'!CH36</f>
        <v>36361449.052610412</v>
      </c>
      <c r="CI63" s="60">
        <f>'Balance Sheet'!CI36</f>
        <v>35944150.300094515</v>
      </c>
      <c r="CJ63" s="60">
        <f>'Balance Sheet'!CJ36</f>
        <v>36659845.586587362</v>
      </c>
      <c r="CK63" s="60">
        <f>'Balance Sheet'!CK36</f>
        <v>40913281.576660283</v>
      </c>
      <c r="CL63" s="60">
        <f>'Balance Sheet'!CL36</f>
        <v>42454252.622760795</v>
      </c>
      <c r="CM63" s="60">
        <f>'Balance Sheet'!CM36</f>
        <v>41831795.443260118</v>
      </c>
      <c r="CN63" s="60">
        <f>'Balance Sheet'!CN36</f>
        <v>44410891.000651494</v>
      </c>
      <c r="CO63" s="60">
        <f>'Balance Sheet'!CO36</f>
        <v>48307620.030611359</v>
      </c>
      <c r="CP63" s="60">
        <f>'Balance Sheet'!CP36</f>
        <v>49695415.625273593</v>
      </c>
      <c r="CQ63" s="60">
        <f>'Balance Sheet'!CQ36</f>
        <v>49768201.66308587</v>
      </c>
      <c r="CR63" s="60">
        <f>'Balance Sheet'!CR36</f>
        <v>50013448.505096704</v>
      </c>
      <c r="CS63" s="60">
        <f>'Balance Sheet'!CS36</f>
        <v>55244794</v>
      </c>
      <c r="CT63" s="60">
        <f>'Balance Sheet'!CT36</f>
        <v>55942026</v>
      </c>
      <c r="CU63" s="60">
        <f>'Balance Sheet'!CU36</f>
        <v>55680694</v>
      </c>
      <c r="CV63" s="60">
        <f>'Balance Sheet'!CV36</f>
        <v>56585901</v>
      </c>
      <c r="CW63" s="60">
        <f>'Balance Sheet'!CW36</f>
        <v>57644133</v>
      </c>
      <c r="CX63" s="60">
        <f>'Balance Sheet'!CX36</f>
        <v>57203238</v>
      </c>
      <c r="CY63" s="60">
        <f>'Balance Sheet'!CY36</f>
        <v>63186177</v>
      </c>
      <c r="CZ63" s="60">
        <f>'Balance Sheet'!CZ36</f>
        <v>66281952</v>
      </c>
      <c r="DA63" s="59">
        <f ca="1">'Balance Sheet'!DA36</f>
        <v>77610564.652426034</v>
      </c>
      <c r="DB63" s="59">
        <f ca="1">'Balance Sheet'!DB36</f>
        <v>74000355.497510776</v>
      </c>
      <c r="DC63" s="59">
        <f ca="1">'Balance Sheet'!DC36</f>
        <v>79041209.127319947</v>
      </c>
      <c r="DD63" s="59">
        <f ca="1">'Balance Sheet'!DD36</f>
        <v>76976722.573026404</v>
      </c>
      <c r="DE63" s="59">
        <f ca="1">'Balance Sheet'!DE36</f>
        <v>83354182.010183036</v>
      </c>
      <c r="DF63" s="59">
        <f ca="1">'Balance Sheet'!DF36</f>
        <v>82049655.727047503</v>
      </c>
      <c r="DG63" s="59">
        <f ca="1">'Balance Sheet'!DG36</f>
        <v>87568367.079307735</v>
      </c>
      <c r="DH63" s="59">
        <f ca="1">'Balance Sheet'!DH36</f>
        <v>86092419.45679161</v>
      </c>
      <c r="DI63" s="59">
        <f ca="1">'Balance Sheet'!DI36</f>
        <v>92136224.349830776</v>
      </c>
      <c r="DJ63" s="59">
        <f ca="1">'Balance Sheet'!DJ36</f>
        <v>91229570.180008888</v>
      </c>
      <c r="DK63" s="59">
        <f ca="1">'Balance Sheet'!DK36</f>
        <v>96199992.876430809</v>
      </c>
      <c r="DL63" s="59">
        <f ca="1">'Balance Sheet'!DL36</f>
        <v>95189346.428154469</v>
      </c>
      <c r="DM63" s="59">
        <f ca="1">'Balance Sheet'!DM36</f>
        <v>101127435.34381363</v>
      </c>
      <c r="DN63" s="59">
        <f ca="1">'Balance Sheet'!DN36</f>
        <v>100987281.15019667</v>
      </c>
      <c r="DO63" s="59">
        <f ca="1">'Balance Sheet'!DO36</f>
        <v>105662481.15065724</v>
      </c>
      <c r="DP63" s="59">
        <f ca="1">'Balance Sheet'!DP36</f>
        <v>105555077.64336765</v>
      </c>
      <c r="DQ63" s="59">
        <f ca="1">'Balance Sheet'!DQ36</f>
        <v>111335337.47426407</v>
      </c>
      <c r="DR63" s="59">
        <f ca="1">'Balance Sheet'!DR36</f>
        <v>112255698.21027827</v>
      </c>
      <c r="DS63" s="59">
        <f ca="1">'Balance Sheet'!DS36</f>
        <v>116401056.33878914</v>
      </c>
      <c r="DT63" s="59">
        <f ca="1">'Balance Sheet'!DT36</f>
        <v>118075906.73692155</v>
      </c>
      <c r="DU63" s="59">
        <f ca="1">'Balance Sheet'!DU36</f>
        <v>123231286.68671957</v>
      </c>
      <c r="DV63" s="59">
        <f ca="1">'Balance Sheet'!DV36</f>
        <v>126112804.42287491</v>
      </c>
      <c r="DW63" s="59">
        <f ca="1">'Balance Sheet'!DW36</f>
        <v>129410673.51302899</v>
      </c>
      <c r="DX63" s="59">
        <f ca="1">'Balance Sheet'!DX36</f>
        <v>133061756.22388169</v>
      </c>
    </row>
    <row r="64" spans="1:128">
      <c r="A64" s="64" t="s">
        <v>14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>
        <f>'Balance Sheet'!N39</f>
        <v>6547736.6417369004</v>
      </c>
      <c r="O64" s="56">
        <f>'Balance Sheet'!O39</f>
        <v>6355212.0674600713</v>
      </c>
      <c r="P64" s="56">
        <f>'Balance Sheet'!P39</f>
        <v>5573396.1172778402</v>
      </c>
      <c r="Q64" s="63">
        <f>'Balance Sheet'!Q39</f>
        <v>8899609.9497270007</v>
      </c>
      <c r="R64" s="63">
        <f>'Balance Sheet'!R39</f>
        <v>9915747.0616873484</v>
      </c>
      <c r="S64" s="63">
        <f>'Balance Sheet'!S39</f>
        <v>16141403</v>
      </c>
      <c r="T64" s="60">
        <f>'Balance Sheet'!T39</f>
        <v>19000357</v>
      </c>
      <c r="U64" s="62">
        <f>'Balance Sheet'!U39</f>
        <v>22666385.823384538</v>
      </c>
      <c r="V64" s="62">
        <f>'Balance Sheet'!V39</f>
        <v>23340703.237163711</v>
      </c>
      <c r="W64" s="62">
        <f>'Balance Sheet'!W39</f>
        <v>24040924.334278613</v>
      </c>
      <c r="X64" s="62">
        <f>'Balance Sheet'!X39</f>
        <v>24762152.064306963</v>
      </c>
      <c r="Y64" s="62">
        <f>'Balance Sheet'!Y39</f>
        <v>25505016.626236167</v>
      </c>
      <c r="Z64" s="62">
        <f>'Balance Sheet'!Z39</f>
        <v>26270167.125023246</v>
      </c>
      <c r="AB64" s="61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>
        <f>'Balance Sheet'!BY39</f>
        <v>8749863.1707556713</v>
      </c>
      <c r="BZ64" s="60">
        <f>'Balance Sheet'!BZ39</f>
        <v>5950128.5927789994</v>
      </c>
      <c r="CA64" s="60">
        <f>'Balance Sheet'!CA39</f>
        <v>4940803.5408191588</v>
      </c>
      <c r="CB64" s="60">
        <f>'Balance Sheet'!CB39</f>
        <v>6547736.6417369004</v>
      </c>
      <c r="CC64" s="60">
        <f>'Balance Sheet'!CC39</f>
        <v>4236519.5834647501</v>
      </c>
      <c r="CD64" s="60">
        <f>'Balance Sheet'!CD39</f>
        <v>4536203.8148749806</v>
      </c>
      <c r="CE64" s="60">
        <f>'Balance Sheet'!CE39</f>
        <v>4793304.3053204706</v>
      </c>
      <c r="CF64" s="60">
        <f>'Balance Sheet'!CF39</f>
        <v>6355212.0674600713</v>
      </c>
      <c r="CG64" s="60">
        <f>'Balance Sheet'!CG39</f>
        <v>6246821.3717263183</v>
      </c>
      <c r="CH64" s="60">
        <f>'Balance Sheet'!CH39</f>
        <v>6076600.4116283394</v>
      </c>
      <c r="CI64" s="60">
        <f>'Balance Sheet'!CI39</f>
        <v>6228363.6557182595</v>
      </c>
      <c r="CJ64" s="60">
        <f>'Balance Sheet'!CJ39</f>
        <v>5573396.1172778402</v>
      </c>
      <c r="CK64" s="60">
        <f>'Balance Sheet'!CK39</f>
        <v>6704870.5160639994</v>
      </c>
      <c r="CL64" s="60">
        <f>'Balance Sheet'!CL39</f>
        <v>6727567.6451546587</v>
      </c>
      <c r="CM64" s="60">
        <f>'Balance Sheet'!CM39</f>
        <v>7360191.6559071606</v>
      </c>
      <c r="CN64" s="60">
        <f>'Balance Sheet'!CN39</f>
        <v>8899609.9497270007</v>
      </c>
      <c r="CO64" s="60">
        <f>'Balance Sheet'!CO39</f>
        <v>9798526.9555608612</v>
      </c>
      <c r="CP64" s="60">
        <f>'Balance Sheet'!CP39</f>
        <v>8825236.2802934218</v>
      </c>
      <c r="CQ64" s="60">
        <f>'Balance Sheet'!CQ39</f>
        <v>8449042.2236475796</v>
      </c>
      <c r="CR64" s="60">
        <f>'Balance Sheet'!CR39</f>
        <v>9915747.0616873484</v>
      </c>
      <c r="CS64" s="60">
        <f>'Balance Sheet'!CS39</f>
        <v>10596684</v>
      </c>
      <c r="CT64" s="60">
        <f>'Balance Sheet'!CT39</f>
        <v>11659253</v>
      </c>
      <c r="CU64" s="60">
        <f>'Balance Sheet'!CU39</f>
        <v>16107331</v>
      </c>
      <c r="CV64" s="60">
        <f>'Balance Sheet'!CV39</f>
        <v>16141403</v>
      </c>
      <c r="CW64" s="60">
        <f>'Balance Sheet'!CW39</f>
        <v>17892989</v>
      </c>
      <c r="CX64" s="60">
        <f>'Balance Sheet'!CX39</f>
        <v>19192984</v>
      </c>
      <c r="CY64" s="60">
        <f>'Balance Sheet'!CY39</f>
        <v>21600451</v>
      </c>
      <c r="CZ64" s="60">
        <f>'Balance Sheet'!CZ39</f>
        <v>19000357</v>
      </c>
      <c r="DA64" s="59">
        <f>'Balance Sheet'!DA39</f>
        <v>20900392.700000003</v>
      </c>
      <c r="DB64" s="59">
        <f>'Balance Sheet'!DB39</f>
        <v>21945412.335000005</v>
      </c>
      <c r="DC64" s="59">
        <f>'Balance Sheet'!DC39</f>
        <v>22494047.643375002</v>
      </c>
      <c r="DD64" s="59">
        <f>'Balance Sheet'!DD39</f>
        <v>22666385.823384538</v>
      </c>
      <c r="DE64" s="59">
        <f>'Balance Sheet'!DE39</f>
        <v>22840044.372620631</v>
      </c>
      <c r="DF64" s="59">
        <f>'Balance Sheet'!DF39</f>
        <v>23003863.768567152</v>
      </c>
      <c r="DG64" s="59">
        <f>'Balance Sheet'!DG39</f>
        <v>23168858.15323307</v>
      </c>
      <c r="DH64" s="59">
        <f>'Balance Sheet'!DH39</f>
        <v>23340703.237163711</v>
      </c>
      <c r="DI64" s="59">
        <f>'Balance Sheet'!DI39</f>
        <v>23513822.908416517</v>
      </c>
      <c r="DJ64" s="59">
        <f>'Balance Sheet'!DJ39</f>
        <v>23688226.620697141</v>
      </c>
      <c r="DK64" s="59">
        <f>'Balance Sheet'!DK39</f>
        <v>23863923.897830054</v>
      </c>
      <c r="DL64" s="59">
        <f>'Balance Sheet'!DL39</f>
        <v>24040924.334278613</v>
      </c>
      <c r="DM64" s="59">
        <f>'Balance Sheet'!DM39</f>
        <v>24219237.595669001</v>
      </c>
      <c r="DN64" s="59">
        <f>'Balance Sheet'!DN39</f>
        <v>24398873.419318046</v>
      </c>
      <c r="DO64" s="59">
        <f>'Balance Sheet'!DO39</f>
        <v>24579841.614764947</v>
      </c>
      <c r="DP64" s="59">
        <f>'Balance Sheet'!DP39</f>
        <v>24762152.064306963</v>
      </c>
      <c r="DQ64" s="59">
        <f>'Balance Sheet'!DQ39</f>
        <v>24945814.723539066</v>
      </c>
      <c r="DR64" s="59">
        <f>'Balance Sheet'!DR39</f>
        <v>25130839.621897582</v>
      </c>
      <c r="DS64" s="59">
        <f>'Balance Sheet'!DS39</f>
        <v>25317236.863207888</v>
      </c>
      <c r="DT64" s="59">
        <f>'Balance Sheet'!DT39</f>
        <v>25505016.626236167</v>
      </c>
      <c r="DU64" s="59">
        <f>'Balance Sheet'!DU39</f>
        <v>25694189.165245231</v>
      </c>
      <c r="DV64" s="59">
        <f>'Balance Sheet'!DV39</f>
        <v>25884764.810554501</v>
      </c>
      <c r="DW64" s="59">
        <f>'Balance Sheet'!DW39</f>
        <v>26076753.969104119</v>
      </c>
      <c r="DX64" s="59">
        <f>'Balance Sheet'!DX39</f>
        <v>26270167.125023246</v>
      </c>
    </row>
    <row r="65" spans="1:128">
      <c r="A65" s="64" t="s">
        <v>13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>
        <f>'Balance Sheet'!N40</f>
        <v>278661.59149780002</v>
      </c>
      <c r="O65" s="56">
        <f>'Balance Sheet'!O40</f>
        <v>197559.86380370997</v>
      </c>
      <c r="P65" s="56">
        <f>'Balance Sheet'!P40</f>
        <v>166330.52588832</v>
      </c>
      <c r="Q65" s="63">
        <f>'Balance Sheet'!Q40</f>
        <v>256959.4872945</v>
      </c>
      <c r="R65" s="63">
        <f>'Balance Sheet'!R40</f>
        <v>189186.95698630001</v>
      </c>
      <c r="S65" s="63">
        <f>'Balance Sheet'!S40</f>
        <v>167654</v>
      </c>
      <c r="T65" s="60">
        <f>'Balance Sheet'!T40</f>
        <v>222496</v>
      </c>
      <c r="U65" s="62">
        <f>'Balance Sheet'!U40</f>
        <v>229747.16450660612</v>
      </c>
      <c r="V65" s="62">
        <f>'Balance Sheet'!V40</f>
        <v>236582.06597701879</v>
      </c>
      <c r="W65" s="62">
        <f>'Balance Sheet'!W40</f>
        <v>243679.52795632929</v>
      </c>
      <c r="X65" s="62">
        <f>'Balance Sheet'!X40</f>
        <v>250989.91379501909</v>
      </c>
      <c r="Y65" s="62">
        <f>'Balance Sheet'!Y40</f>
        <v>258519.61120886961</v>
      </c>
      <c r="Z65" s="62">
        <f>'Balance Sheet'!Z40</f>
        <v>266275.19954513566</v>
      </c>
      <c r="AB65" s="61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>
        <f>'Balance Sheet'!BY40</f>
        <v>640301.43519585999</v>
      </c>
      <c r="BZ65" s="60">
        <f>'Balance Sheet'!BZ40</f>
        <v>479813.64329009998</v>
      </c>
      <c r="CA65" s="60">
        <f>'Balance Sheet'!CA40</f>
        <v>184289.07525252001</v>
      </c>
      <c r="CB65" s="60">
        <f>'Balance Sheet'!CB40</f>
        <v>278661.59149780002</v>
      </c>
      <c r="CC65" s="60">
        <f>'Balance Sheet'!CC40</f>
        <v>223855.26171870003</v>
      </c>
      <c r="CD65" s="60">
        <f>'Balance Sheet'!CD40</f>
        <v>179029.10846645999</v>
      </c>
      <c r="CE65" s="60">
        <f>'Balance Sheet'!CE40</f>
        <v>161371.05333651</v>
      </c>
      <c r="CF65" s="60">
        <f>'Balance Sheet'!CF40</f>
        <v>197559.86380370997</v>
      </c>
      <c r="CG65" s="60">
        <f>'Balance Sheet'!CG40</f>
        <v>150599.50080052001</v>
      </c>
      <c r="CH65" s="60">
        <f>'Balance Sheet'!CH40</f>
        <v>179839.61865094001</v>
      </c>
      <c r="CI65" s="60">
        <f>'Balance Sheet'!CI40</f>
        <v>233556.72697932998</v>
      </c>
      <c r="CJ65" s="60">
        <f>'Balance Sheet'!CJ40</f>
        <v>166330.52588832</v>
      </c>
      <c r="CK65" s="60">
        <f>'Balance Sheet'!CK40</f>
        <v>153369.28985846997</v>
      </c>
      <c r="CL65" s="60">
        <f>'Balance Sheet'!CL40</f>
        <v>177158.59382451</v>
      </c>
      <c r="CM65" s="60">
        <f>'Balance Sheet'!CM40</f>
        <v>128315.80493969998</v>
      </c>
      <c r="CN65" s="60">
        <f>'Balance Sheet'!CN40</f>
        <v>256959.4872945</v>
      </c>
      <c r="CO65" s="60">
        <f>'Balance Sheet'!CO40</f>
        <v>134047.68678270001</v>
      </c>
      <c r="CP65" s="60">
        <f>'Balance Sheet'!CP40</f>
        <v>139830.93636485998</v>
      </c>
      <c r="CQ65" s="60">
        <f>'Balance Sheet'!CQ40</f>
        <v>179729.78401534</v>
      </c>
      <c r="CR65" s="60">
        <f>'Balance Sheet'!CR40</f>
        <v>189186.95698630001</v>
      </c>
      <c r="CS65" s="60">
        <f>'Balance Sheet'!CS40</f>
        <v>135841</v>
      </c>
      <c r="CT65" s="60">
        <f>'Balance Sheet'!CT40</f>
        <v>152901</v>
      </c>
      <c r="CU65" s="60">
        <f>'Balance Sheet'!CU40</f>
        <v>175687</v>
      </c>
      <c r="CV65" s="60">
        <f>'Balance Sheet'!CV40</f>
        <v>167654</v>
      </c>
      <c r="CW65" s="60">
        <f>'Balance Sheet'!CW40</f>
        <v>169480</v>
      </c>
      <c r="CX65" s="60">
        <f>'Balance Sheet'!CX40</f>
        <v>151952</v>
      </c>
      <c r="CY65" s="60">
        <f>'Balance Sheet'!CY40</f>
        <v>201357</v>
      </c>
      <c r="CZ65" s="60">
        <f>'Balance Sheet'!CZ40</f>
        <v>222496</v>
      </c>
      <c r="DA65" s="59">
        <f>'Balance Sheet'!DA40</f>
        <v>224329.00744117482</v>
      </c>
      <c r="DB65" s="59">
        <f>'Balance Sheet'!DB40</f>
        <v>226211.96353832327</v>
      </c>
      <c r="DC65" s="59">
        <f>'Balance Sheet'!DC40</f>
        <v>228000.33956054121</v>
      </c>
      <c r="DD65" s="59">
        <f>'Balance Sheet'!DD40</f>
        <v>229747.16450660612</v>
      </c>
      <c r="DE65" s="59">
        <f>'Balance Sheet'!DE40</f>
        <v>231507.37275463485</v>
      </c>
      <c r="DF65" s="59">
        <f>'Balance Sheet'!DF40</f>
        <v>233167.85105069689</v>
      </c>
      <c r="DG65" s="59">
        <f>'Balance Sheet'!DG40</f>
        <v>234840.23906755479</v>
      </c>
      <c r="DH65" s="59">
        <f>'Balance Sheet'!DH40</f>
        <v>236582.06597701879</v>
      </c>
      <c r="DI65" s="59">
        <f>'Balance Sheet'!DI40</f>
        <v>238336.81214169468</v>
      </c>
      <c r="DJ65" s="59">
        <f>'Balance Sheet'!DJ40</f>
        <v>240104.57338462566</v>
      </c>
      <c r="DK65" s="59">
        <f>'Balance Sheet'!DK40</f>
        <v>241885.44623958136</v>
      </c>
      <c r="DL65" s="59">
        <f>'Balance Sheet'!DL40</f>
        <v>243679.52795632929</v>
      </c>
      <c r="DM65" s="59">
        <f>'Balance Sheet'!DM40</f>
        <v>245486.91650594544</v>
      </c>
      <c r="DN65" s="59">
        <f>'Balance Sheet'!DN40</f>
        <v>247307.71058616435</v>
      </c>
      <c r="DO65" s="59">
        <f>'Balance Sheet'!DO40</f>
        <v>249142.00962676873</v>
      </c>
      <c r="DP65" s="59">
        <f>'Balance Sheet'!DP40</f>
        <v>250989.91379501909</v>
      </c>
      <c r="DQ65" s="59">
        <f>'Balance Sheet'!DQ40</f>
        <v>252851.52400112373</v>
      </c>
      <c r="DR65" s="59">
        <f>'Balance Sheet'!DR40</f>
        <v>254726.94190374922</v>
      </c>
      <c r="DS65" s="59">
        <f>'Balance Sheet'!DS40</f>
        <v>256616.26991557173</v>
      </c>
      <c r="DT65" s="59">
        <f>'Balance Sheet'!DT40</f>
        <v>258519.61120886961</v>
      </c>
      <c r="DU65" s="59">
        <f>'Balance Sheet'!DU40</f>
        <v>260437.0697211574</v>
      </c>
      <c r="DV65" s="59">
        <f>'Balance Sheet'!DV40</f>
        <v>262368.75016086164</v>
      </c>
      <c r="DW65" s="59">
        <f>'Balance Sheet'!DW40</f>
        <v>264314.75801303884</v>
      </c>
      <c r="DX65" s="59">
        <f>'Balance Sheet'!DX40</f>
        <v>266275.19954513566</v>
      </c>
    </row>
    <row r="66" spans="1:128">
      <c r="A66" s="64" t="s">
        <v>12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>
        <f>'Balance Sheet'!N41</f>
        <v>3718624.1207256005</v>
      </c>
      <c r="O66" s="56">
        <f>'Balance Sheet'!O41</f>
        <v>8386269.232892192</v>
      </c>
      <c r="P66" s="56">
        <f>'Balance Sheet'!P41</f>
        <v>10682377.183618961</v>
      </c>
      <c r="Q66" s="63">
        <f>'Balance Sheet'!Q41</f>
        <v>12280398.598048499</v>
      </c>
      <c r="R66" s="63">
        <f>'Balance Sheet'!R41</f>
        <v>14271117.394201851</v>
      </c>
      <c r="S66" s="63">
        <f>'Balance Sheet'!S41</f>
        <v>15096612</v>
      </c>
      <c r="T66" s="60">
        <f>'Balance Sheet'!T41</f>
        <v>16305819</v>
      </c>
      <c r="U66" s="62">
        <f>'Balance Sheet'!U41</f>
        <v>16837227.097152054</v>
      </c>
      <c r="V66" s="62">
        <f>'Balance Sheet'!V41</f>
        <v>17338128.984194439</v>
      </c>
      <c r="W66" s="62">
        <f>'Balance Sheet'!W41</f>
        <v>17858272.853720266</v>
      </c>
      <c r="X66" s="62">
        <f>'Balance Sheet'!X41</f>
        <v>18394021.039331868</v>
      </c>
      <c r="Y66" s="62">
        <f>'Balance Sheet'!Y41</f>
        <v>18945841.670511816</v>
      </c>
      <c r="Z66" s="62">
        <f>'Balance Sheet'!Z41</f>
        <v>19514216.920627162</v>
      </c>
      <c r="AB66" s="61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>
        <f>'Balance Sheet'!BY41</f>
        <v>2740518.5940633998</v>
      </c>
      <c r="BZ66" s="60">
        <f>'Balance Sheet'!BZ41</f>
        <v>2722054.3350839997</v>
      </c>
      <c r="CA66" s="60">
        <f>'Balance Sheet'!CA41</f>
        <v>2639123.7355128797</v>
      </c>
      <c r="CB66" s="60">
        <f>'Balance Sheet'!CB41</f>
        <v>3718624.1207256005</v>
      </c>
      <c r="CC66" s="60">
        <f>'Balance Sheet'!CC41</f>
        <v>6665157.3938935203</v>
      </c>
      <c r="CD66" s="60">
        <f>'Balance Sheet'!CD41</f>
        <v>6477418.1184335994</v>
      </c>
      <c r="CE66" s="60">
        <f>'Balance Sheet'!CE41</f>
        <v>8548829.1466507502</v>
      </c>
      <c r="CF66" s="60">
        <f>'Balance Sheet'!CF41</f>
        <v>8386269.232892192</v>
      </c>
      <c r="CG66" s="60">
        <f>'Balance Sheet'!CG41</f>
        <v>10325226.571662599</v>
      </c>
      <c r="CH66" s="60">
        <f>'Balance Sheet'!CH41</f>
        <v>9753155.0876573995</v>
      </c>
      <c r="CI66" s="60">
        <f>'Balance Sheet'!CI41</f>
        <v>10530219.17884828</v>
      </c>
      <c r="CJ66" s="60">
        <f>'Balance Sheet'!CJ41</f>
        <v>10682377.183618961</v>
      </c>
      <c r="CK66" s="60">
        <f>'Balance Sheet'!CK41</f>
        <v>10428852.399139438</v>
      </c>
      <c r="CL66" s="60">
        <f>'Balance Sheet'!CL41</f>
        <v>11324924.083888579</v>
      </c>
      <c r="CM66" s="60">
        <f>'Balance Sheet'!CM41</f>
        <v>12160535.968310097</v>
      </c>
      <c r="CN66" s="60">
        <f>'Balance Sheet'!CN41</f>
        <v>12280398.598048499</v>
      </c>
      <c r="CO66" s="60">
        <f>'Balance Sheet'!CO41</f>
        <v>12276937.645207891</v>
      </c>
      <c r="CP66" s="60">
        <f>'Balance Sheet'!CP41</f>
        <v>14513214.87007782</v>
      </c>
      <c r="CQ66" s="60">
        <f>'Balance Sheet'!CQ41</f>
        <v>14364703.514778759</v>
      </c>
      <c r="CR66" s="60">
        <f>'Balance Sheet'!CR41</f>
        <v>14271117.394201851</v>
      </c>
      <c r="CS66" s="60">
        <f>'Balance Sheet'!CS41</f>
        <v>15075214</v>
      </c>
      <c r="CT66" s="60">
        <f>'Balance Sheet'!CT41</f>
        <v>14910646</v>
      </c>
      <c r="CU66" s="60">
        <f>'Balance Sheet'!CU41</f>
        <v>15229395</v>
      </c>
      <c r="CV66" s="60">
        <f>'Balance Sheet'!CV41</f>
        <v>15096612</v>
      </c>
      <c r="CW66" s="60">
        <f>'Balance Sheet'!CW41</f>
        <v>15560444</v>
      </c>
      <c r="CX66" s="60">
        <f>'Balance Sheet'!CX41</f>
        <v>15601653</v>
      </c>
      <c r="CY66" s="60">
        <f>'Balance Sheet'!CY41</f>
        <v>16016573</v>
      </c>
      <c r="CZ66" s="60">
        <f>'Balance Sheet'!CZ41</f>
        <v>16305819</v>
      </c>
      <c r="DA66" s="59">
        <f>'Balance Sheet'!DA41</f>
        <v>16440152.595037438</v>
      </c>
      <c r="DB66" s="59">
        <f>'Balance Sheet'!DB41</f>
        <v>16578146.722145559</v>
      </c>
      <c r="DC66" s="59">
        <f>'Balance Sheet'!DC41</f>
        <v>16709209.463598106</v>
      </c>
      <c r="DD66" s="59">
        <f>'Balance Sheet'!DD41</f>
        <v>16837227.097152054</v>
      </c>
      <c r="DE66" s="59">
        <f>'Balance Sheet'!DE41</f>
        <v>16966225.537998918</v>
      </c>
      <c r="DF66" s="59">
        <f>'Balance Sheet'!DF41</f>
        <v>17087915.179830752</v>
      </c>
      <c r="DG66" s="59">
        <f>'Balance Sheet'!DG41</f>
        <v>17210477.636237402</v>
      </c>
      <c r="DH66" s="59">
        <f>'Balance Sheet'!DH41</f>
        <v>17338128.984194439</v>
      </c>
      <c r="DI66" s="59">
        <f>'Balance Sheet'!DI41</f>
        <v>17466727.131361801</v>
      </c>
      <c r="DJ66" s="59">
        <f>'Balance Sheet'!DJ41</f>
        <v>17596279.100217186</v>
      </c>
      <c r="DK66" s="59">
        <f>'Balance Sheet'!DK41</f>
        <v>17726791.965324517</v>
      </c>
      <c r="DL66" s="59">
        <f>'Balance Sheet'!DL41</f>
        <v>17858272.853720266</v>
      </c>
      <c r="DM66" s="59">
        <f>'Balance Sheet'!DM41</f>
        <v>17990728.945302647</v>
      </c>
      <c r="DN66" s="59">
        <f>'Balance Sheet'!DN41</f>
        <v>18124167.473223694</v>
      </c>
      <c r="DO66" s="59">
        <f>'Balance Sheet'!DO41</f>
        <v>18258595.724284247</v>
      </c>
      <c r="DP66" s="59">
        <f>'Balance Sheet'!DP41</f>
        <v>18394021.039331868</v>
      </c>
      <c r="DQ66" s="59">
        <f>'Balance Sheet'!DQ41</f>
        <v>18530450.813661721</v>
      </c>
      <c r="DR66" s="59">
        <f>'Balance Sheet'!DR41</f>
        <v>18667892.497420397</v>
      </c>
      <c r="DS66" s="59">
        <f>'Balance Sheet'!DS41</f>
        <v>18806353.596012764</v>
      </c>
      <c r="DT66" s="59">
        <f>'Balance Sheet'!DT41</f>
        <v>18945841.670511816</v>
      </c>
      <c r="DU66" s="59">
        <f>'Balance Sheet'!DU41</f>
        <v>19086364.338071566</v>
      </c>
      <c r="DV66" s="59">
        <f>'Balance Sheet'!DV41</f>
        <v>19227929.272343002</v>
      </c>
      <c r="DW66" s="59">
        <f>'Balance Sheet'!DW41</f>
        <v>19370544.20389314</v>
      </c>
      <c r="DX66" s="59">
        <f>'Balance Sheet'!DX41</f>
        <v>19514216.920627162</v>
      </c>
    </row>
    <row r="67" spans="1:128" s="44" customFormat="1" ht="12">
      <c r="A67" s="47" t="s">
        <v>11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>
        <f t="shared" ref="N67:X67" si="207">SUM(N63:N66)</f>
        <v>41739200.726616897</v>
      </c>
      <c r="O67" s="46">
        <f t="shared" si="207"/>
        <v>53491876.794038951</v>
      </c>
      <c r="P67" s="46">
        <f t="shared" si="207"/>
        <v>53081949.413372479</v>
      </c>
      <c r="Q67" s="48">
        <f t="shared" si="207"/>
        <v>65847859.035721496</v>
      </c>
      <c r="R67" s="48">
        <f t="shared" si="207"/>
        <v>74389499.917972207</v>
      </c>
      <c r="S67" s="48">
        <f t="shared" si="207"/>
        <v>87991570</v>
      </c>
      <c r="T67" s="46">
        <f t="shared" si="207"/>
        <v>101810624</v>
      </c>
      <c r="U67" s="45">
        <f t="shared" ca="1" si="207"/>
        <v>116710082.6580696</v>
      </c>
      <c r="V67" s="45">
        <f t="shared" ca="1" si="207"/>
        <v>127007833.74412678</v>
      </c>
      <c r="W67" s="45">
        <f t="shared" ca="1" si="207"/>
        <v>137332223.1441097</v>
      </c>
      <c r="X67" s="45">
        <f t="shared" ca="1" si="207"/>
        <v>148962240.66080153</v>
      </c>
      <c r="Y67" s="45">
        <f t="shared" ref="Y67:Z67" ca="1" si="208">SUM(Y63:Y66)</f>
        <v>162785284.64487839</v>
      </c>
      <c r="Z67" s="45">
        <f t="shared" ca="1" si="208"/>
        <v>179112415.46907723</v>
      </c>
      <c r="AB67" s="47" t="s">
        <v>10</v>
      </c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>
        <f t="shared" ref="BY67:CN67" si="209">SUM(BY63:BY66)</f>
        <v>40941583.006143332</v>
      </c>
      <c r="BZ67" s="46">
        <f t="shared" si="209"/>
        <v>38348221.0710508</v>
      </c>
      <c r="CA67" s="46">
        <f t="shared" si="209"/>
        <v>37210119.732509635</v>
      </c>
      <c r="CB67" s="46">
        <f t="shared" si="209"/>
        <v>41739200.726616897</v>
      </c>
      <c r="CC67" s="46">
        <f t="shared" si="209"/>
        <v>42337541.176175617</v>
      </c>
      <c r="CD67" s="46">
        <f t="shared" si="209"/>
        <v>42618981.163461126</v>
      </c>
      <c r="CE67" s="46">
        <f t="shared" si="209"/>
        <v>48589941.975176662</v>
      </c>
      <c r="CF67" s="46">
        <f t="shared" si="209"/>
        <v>53491876.794038951</v>
      </c>
      <c r="CG67" s="46">
        <f t="shared" si="209"/>
        <v>53675977.144529313</v>
      </c>
      <c r="CH67" s="46">
        <f t="shared" si="209"/>
        <v>52371044.17054709</v>
      </c>
      <c r="CI67" s="46">
        <f t="shared" si="209"/>
        <v>52936289.861640386</v>
      </c>
      <c r="CJ67" s="46">
        <f t="shared" si="209"/>
        <v>53081949.413372479</v>
      </c>
      <c r="CK67" s="46">
        <f t="shared" si="209"/>
        <v>58200373.781722188</v>
      </c>
      <c r="CL67" s="46">
        <f t="shared" si="209"/>
        <v>60683902.945628554</v>
      </c>
      <c r="CM67" s="46">
        <f t="shared" si="209"/>
        <v>61480838.872417077</v>
      </c>
      <c r="CN67" s="46">
        <f t="shared" si="209"/>
        <v>65847859.035721496</v>
      </c>
      <c r="CO67" s="46">
        <f t="shared" ref="CO67" si="210">SUM(CO63:CO66)</f>
        <v>70517132.318162814</v>
      </c>
      <c r="CP67" s="46">
        <f t="shared" ref="CP67:CQ67" si="211">SUM(CP63:CP66)</f>
        <v>73173697.712009698</v>
      </c>
      <c r="CQ67" s="46">
        <f t="shared" si="211"/>
        <v>72761677.185527548</v>
      </c>
      <c r="CR67" s="46">
        <f t="shared" ref="CR67:CS67" si="212">SUM(CR63:CR66)</f>
        <v>74389499.917972207</v>
      </c>
      <c r="CS67" s="46">
        <f t="shared" si="212"/>
        <v>81052533</v>
      </c>
      <c r="CT67" s="46">
        <f t="shared" ref="CT67:CU67" si="213">SUM(CT63:CT66)</f>
        <v>82664826</v>
      </c>
      <c r="CU67" s="46">
        <f t="shared" si="213"/>
        <v>87193107</v>
      </c>
      <c r="CV67" s="46">
        <f t="shared" ref="CV67:CW67" si="214">SUM(CV63:CV66)</f>
        <v>87991570</v>
      </c>
      <c r="CW67" s="46">
        <f t="shared" si="214"/>
        <v>91267046</v>
      </c>
      <c r="CX67" s="46">
        <f t="shared" ref="CX67:CY67" si="215">SUM(CX63:CX66)</f>
        <v>92149827</v>
      </c>
      <c r="CY67" s="46">
        <f t="shared" si="215"/>
        <v>101004558</v>
      </c>
      <c r="CZ67" s="46">
        <f t="shared" ref="CZ67" si="216">SUM(CZ63:CZ66)</f>
        <v>101810624</v>
      </c>
      <c r="DA67" s="45">
        <f t="shared" ref="DA67:DP67" ca="1" si="217">SUM(DA63:DA66)</f>
        <v>115175438.95490465</v>
      </c>
      <c r="DB67" s="45">
        <f t="shared" ca="1" si="217"/>
        <v>112750126.51819466</v>
      </c>
      <c r="DC67" s="45">
        <f t="shared" ca="1" si="217"/>
        <v>118472466.57385358</v>
      </c>
      <c r="DD67" s="45">
        <f t="shared" ca="1" si="217"/>
        <v>116710082.6580696</v>
      </c>
      <c r="DE67" s="45">
        <f t="shared" ca="1" si="217"/>
        <v>123391959.29355721</v>
      </c>
      <c r="DF67" s="45">
        <f t="shared" ca="1" si="217"/>
        <v>122374602.52649608</v>
      </c>
      <c r="DG67" s="45">
        <f t="shared" ca="1" si="217"/>
        <v>128182543.10784575</v>
      </c>
      <c r="DH67" s="45">
        <f t="shared" ca="1" si="217"/>
        <v>127007833.74412678</v>
      </c>
      <c r="DI67" s="45">
        <f t="shared" ca="1" si="217"/>
        <v>133355111.20175079</v>
      </c>
      <c r="DJ67" s="45">
        <f t="shared" ca="1" si="217"/>
        <v>132754180.47430784</v>
      </c>
      <c r="DK67" s="45">
        <f t="shared" ca="1" si="217"/>
        <v>138032594.18582496</v>
      </c>
      <c r="DL67" s="45">
        <f t="shared" ca="1" si="217"/>
        <v>137332223.1441097</v>
      </c>
      <c r="DM67" s="45">
        <f t="shared" ca="1" si="217"/>
        <v>143582888.80129123</v>
      </c>
      <c r="DN67" s="45">
        <f t="shared" ca="1" si="217"/>
        <v>143757629.75332457</v>
      </c>
      <c r="DO67" s="45">
        <f t="shared" ca="1" si="217"/>
        <v>148750060.4993332</v>
      </c>
      <c r="DP67" s="45">
        <f t="shared" ca="1" si="217"/>
        <v>148962240.6608015</v>
      </c>
      <c r="DQ67" s="45">
        <f t="shared" ref="DQ67:DT67" ca="1" si="218">SUM(DQ63:DQ66)</f>
        <v>155064454.53546599</v>
      </c>
      <c r="DR67" s="45">
        <f t="shared" ca="1" si="218"/>
        <v>156309157.27149999</v>
      </c>
      <c r="DS67" s="45">
        <f t="shared" ca="1" si="218"/>
        <v>160781263.06792536</v>
      </c>
      <c r="DT67" s="45">
        <f t="shared" ca="1" si="218"/>
        <v>162785284.64487839</v>
      </c>
      <c r="DU67" s="45">
        <f t="shared" ref="DU67:DX67" ca="1" si="219">SUM(DU63:DU66)</f>
        <v>168272277.25975752</v>
      </c>
      <c r="DV67" s="45">
        <f t="shared" ca="1" si="219"/>
        <v>171487867.25593328</v>
      </c>
      <c r="DW67" s="45">
        <f t="shared" ca="1" si="219"/>
        <v>175122286.44403929</v>
      </c>
      <c r="DX67" s="45">
        <f t="shared" ca="1" si="219"/>
        <v>179112415.46907723</v>
      </c>
    </row>
    <row r="68" spans="1:128">
      <c r="A68" s="57" t="s">
        <v>9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>
        <f t="shared" ref="N68:Z68" si="220">+AVERAGE(M67:N67)</f>
        <v>41739200.726616897</v>
      </c>
      <c r="O68" s="56">
        <f t="shared" si="220"/>
        <v>47615538.76032792</v>
      </c>
      <c r="P68" s="56">
        <f t="shared" si="220"/>
        <v>53286913.103705719</v>
      </c>
      <c r="Q68" s="58">
        <f t="shared" si="220"/>
        <v>59464904.224546984</v>
      </c>
      <c r="R68" s="58">
        <f t="shared" si="220"/>
        <v>70118679.476846844</v>
      </c>
      <c r="S68" s="58">
        <f t="shared" si="220"/>
        <v>81190534.958986104</v>
      </c>
      <c r="T68" s="56">
        <f t="shared" si="220"/>
        <v>94901097</v>
      </c>
      <c r="U68" s="55">
        <f t="shared" ca="1" si="220"/>
        <v>109260353.32903481</v>
      </c>
      <c r="V68" s="55">
        <f t="shared" ca="1" si="220"/>
        <v>121858958.20109819</v>
      </c>
      <c r="W68" s="55">
        <f t="shared" ca="1" si="220"/>
        <v>132170028.44411823</v>
      </c>
      <c r="X68" s="55">
        <f t="shared" ca="1" si="220"/>
        <v>143147231.90245563</v>
      </c>
      <c r="Y68" s="55">
        <f t="shared" ca="1" si="220"/>
        <v>155873762.65283996</v>
      </c>
      <c r="Z68" s="55">
        <f t="shared" ca="1" si="220"/>
        <v>170948850.05697781</v>
      </c>
      <c r="AB68" s="57" t="s">
        <v>9</v>
      </c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>
        <f t="shared" ref="BY68:CN68" si="221">+AVERAGE(BX67:BY67)</f>
        <v>40941583.006143332</v>
      </c>
      <c r="BZ68" s="56">
        <f t="shared" si="221"/>
        <v>39644902.038597062</v>
      </c>
      <c r="CA68" s="56">
        <f t="shared" si="221"/>
        <v>37779170.401780218</v>
      </c>
      <c r="CB68" s="56">
        <f t="shared" si="221"/>
        <v>39474660.229563266</v>
      </c>
      <c r="CC68" s="56">
        <f t="shared" si="221"/>
        <v>42038370.951396257</v>
      </c>
      <c r="CD68" s="56">
        <f t="shared" si="221"/>
        <v>42478261.169818372</v>
      </c>
      <c r="CE68" s="56">
        <f t="shared" si="221"/>
        <v>45604461.569318891</v>
      </c>
      <c r="CF68" s="56">
        <f t="shared" si="221"/>
        <v>51040909.384607807</v>
      </c>
      <c r="CG68" s="56">
        <f t="shared" si="221"/>
        <v>53583926.969284132</v>
      </c>
      <c r="CH68" s="56">
        <f t="shared" si="221"/>
        <v>53023510.657538205</v>
      </c>
      <c r="CI68" s="56">
        <f t="shared" si="221"/>
        <v>52653667.016093738</v>
      </c>
      <c r="CJ68" s="56">
        <f t="shared" si="221"/>
        <v>53009119.637506433</v>
      </c>
      <c r="CK68" s="56">
        <f t="shared" si="221"/>
        <v>55641161.597547337</v>
      </c>
      <c r="CL68" s="56">
        <f t="shared" si="221"/>
        <v>59442138.363675371</v>
      </c>
      <c r="CM68" s="56">
        <f t="shared" si="221"/>
        <v>61082370.909022816</v>
      </c>
      <c r="CN68" s="56">
        <f t="shared" si="221"/>
        <v>63664348.954069287</v>
      </c>
      <c r="CO68" s="56">
        <f t="shared" ref="CO68:CW68" si="222">+AVERAGE(CN67:CO67)</f>
        <v>68182495.676942155</v>
      </c>
      <c r="CP68" s="56">
        <f t="shared" si="222"/>
        <v>71845415.015086263</v>
      </c>
      <c r="CQ68" s="56">
        <f t="shared" si="222"/>
        <v>72967687.448768616</v>
      </c>
      <c r="CR68" s="56">
        <f t="shared" si="222"/>
        <v>73575588.551749885</v>
      </c>
      <c r="CS68" s="56">
        <f t="shared" si="222"/>
        <v>77721016.458986104</v>
      </c>
      <c r="CT68" s="56">
        <f t="shared" si="222"/>
        <v>81858679.5</v>
      </c>
      <c r="CU68" s="56">
        <f t="shared" si="222"/>
        <v>84928966.5</v>
      </c>
      <c r="CV68" s="56">
        <f t="shared" si="222"/>
        <v>87592338.5</v>
      </c>
      <c r="CW68" s="56">
        <f t="shared" si="222"/>
        <v>89629308</v>
      </c>
      <c r="CX68" s="56">
        <f t="shared" ref="CX68" si="223">+AVERAGE(CW67:CX67)</f>
        <v>91708436.5</v>
      </c>
      <c r="CY68" s="56">
        <f t="shared" ref="CY68:CZ68" si="224">+AVERAGE(CX67:CY67)</f>
        <v>96577192.5</v>
      </c>
      <c r="CZ68" s="56">
        <f t="shared" si="224"/>
        <v>101407591</v>
      </c>
      <c r="DA68" s="55">
        <f t="shared" ref="DA68" ca="1" si="225">+AVERAGE(CZ67:DA67)</f>
        <v>108493031.47745232</v>
      </c>
      <c r="DB68" s="55">
        <f t="shared" ref="DB68" ca="1" si="226">+AVERAGE(DA67:DB67)</f>
        <v>113962782.73654965</v>
      </c>
      <c r="DC68" s="55">
        <f t="shared" ref="DC68" ca="1" si="227">+AVERAGE(DB67:DC67)</f>
        <v>115611296.54602411</v>
      </c>
      <c r="DD68" s="55">
        <f t="shared" ref="DD68" ca="1" si="228">+AVERAGE(DC67:DD67)</f>
        <v>117591274.61596158</v>
      </c>
      <c r="DE68" s="55">
        <f t="shared" ref="DE68" ca="1" si="229">+AVERAGE(DD67:DE67)</f>
        <v>120051020.9758134</v>
      </c>
      <c r="DF68" s="55">
        <f t="shared" ref="DF68" ca="1" si="230">+AVERAGE(DE67:DF67)</f>
        <v>122883280.91002664</v>
      </c>
      <c r="DG68" s="55">
        <f t="shared" ref="DG68" ca="1" si="231">+AVERAGE(DF67:DG67)</f>
        <v>125278572.81717092</v>
      </c>
      <c r="DH68" s="55">
        <f t="shared" ref="DH68" ca="1" si="232">+AVERAGE(DG67:DH67)</f>
        <v>127595188.42598626</v>
      </c>
      <c r="DI68" s="55">
        <f t="shared" ref="DI68" ca="1" si="233">+AVERAGE(DH67:DI67)</f>
        <v>130181472.47293878</v>
      </c>
      <c r="DJ68" s="55">
        <f t="shared" ref="DJ68" ca="1" si="234">+AVERAGE(DI67:DJ67)</f>
        <v>133054645.83802931</v>
      </c>
      <c r="DK68" s="55">
        <f t="shared" ref="DK68" ca="1" si="235">+AVERAGE(DJ67:DK67)</f>
        <v>135393387.33006638</v>
      </c>
      <c r="DL68" s="55">
        <f t="shared" ref="DL68" ca="1" si="236">+AVERAGE(DK67:DL67)</f>
        <v>137682408.66496733</v>
      </c>
      <c r="DM68" s="55">
        <f t="shared" ref="DM68" ca="1" si="237">+AVERAGE(DL67:DM67)</f>
        <v>140457555.97270048</v>
      </c>
      <c r="DN68" s="55">
        <f t="shared" ref="DN68" ca="1" si="238">+AVERAGE(DM67:DN67)</f>
        <v>143670259.2773079</v>
      </c>
      <c r="DO68" s="55">
        <f t="shared" ref="DO68" ca="1" si="239">+AVERAGE(DN67:DO67)</f>
        <v>146253845.12632889</v>
      </c>
      <c r="DP68" s="55">
        <f t="shared" ref="DP68" ca="1" si="240">+AVERAGE(DO67:DP67)</f>
        <v>148856150.58006734</v>
      </c>
      <c r="DQ68" s="55">
        <f t="shared" ref="DQ68" ca="1" si="241">+AVERAGE(DP67:DQ67)</f>
        <v>152013347.59813374</v>
      </c>
      <c r="DR68" s="55">
        <f t="shared" ref="DR68" ca="1" si="242">+AVERAGE(DQ67:DR67)</f>
        <v>155686805.90348297</v>
      </c>
      <c r="DS68" s="55">
        <f t="shared" ref="DS68" ca="1" si="243">+AVERAGE(DR67:DS67)</f>
        <v>158545210.16971266</v>
      </c>
      <c r="DT68" s="55">
        <f t="shared" ref="DT68" ca="1" si="244">+AVERAGE(DS67:DT67)</f>
        <v>161783273.85640186</v>
      </c>
      <c r="DU68" s="55">
        <f t="shared" ref="DU68" ca="1" si="245">+AVERAGE(DT67:DU67)</f>
        <v>165528780.95231795</v>
      </c>
      <c r="DV68" s="55">
        <f t="shared" ref="DV68" ca="1" si="246">+AVERAGE(DU67:DV67)</f>
        <v>169880072.2578454</v>
      </c>
      <c r="DW68" s="55">
        <f t="shared" ref="DW68" ca="1" si="247">+AVERAGE(DV67:DW67)</f>
        <v>173305076.84998628</v>
      </c>
      <c r="DX68" s="55">
        <f t="shared" ref="DX68" ca="1" si="248">+AVERAGE(DW67:DX67)</f>
        <v>177117350.95655826</v>
      </c>
    </row>
    <row r="69" spans="1:128" s="49" customFormat="1">
      <c r="A69" s="54" t="s">
        <v>8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>
        <f t="shared" ref="N69:X69" si="249">+N70/N68</f>
        <v>3.0178997940994566E-2</v>
      </c>
      <c r="O69" s="51">
        <f t="shared" si="249"/>
        <v>2.3159872612666523E-2</v>
      </c>
      <c r="P69" s="51">
        <f t="shared" si="249"/>
        <v>2.7436939469391151E-2</v>
      </c>
      <c r="Q69" s="53">
        <f t="shared" si="249"/>
        <v>3.0887430586125232E-2</v>
      </c>
      <c r="R69" s="53">
        <f t="shared" si="249"/>
        <v>2.9371335535673788E-2</v>
      </c>
      <c r="S69" s="53">
        <f t="shared" si="249"/>
        <v>2.6390994973519974E-2</v>
      </c>
      <c r="T69" s="51">
        <f t="shared" si="249"/>
        <v>2.6954893893376176E-2</v>
      </c>
      <c r="U69" s="50">
        <f t="shared" ca="1" si="249"/>
        <v>3.5355185655126818E-2</v>
      </c>
      <c r="V69" s="50">
        <f t="shared" ca="1" si="249"/>
        <v>3.4281965846457083E-2</v>
      </c>
      <c r="W69" s="50">
        <f t="shared" ca="1" si="249"/>
        <v>3.2540938721552101E-2</v>
      </c>
      <c r="X69" s="50">
        <f t="shared" ca="1" si="249"/>
        <v>3.2146334548909437E-2</v>
      </c>
      <c r="Y69" s="50">
        <f t="shared" ref="Y69:Z69" ca="1" si="250">+Y70/Y68</f>
        <v>3.140420924022419E-2</v>
      </c>
      <c r="Z69" s="50">
        <f t="shared" ca="1" si="250"/>
        <v>3.0865994732018169E-2</v>
      </c>
      <c r="AB69" s="52" t="s">
        <v>7</v>
      </c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>
        <f t="shared" ref="BY69:CN69" si="251">+BY70/BY68</f>
        <v>9.3607839804341134E-3</v>
      </c>
      <c r="BZ69" s="51">
        <f t="shared" si="251"/>
        <v>8.2830029567920304E-3</v>
      </c>
      <c r="CA69" s="51">
        <f t="shared" si="251"/>
        <v>7.4787029151774645E-3</v>
      </c>
      <c r="CB69" s="51">
        <f t="shared" si="251"/>
        <v>6.7254259892723456E-3</v>
      </c>
      <c r="CC69" s="51">
        <f t="shared" si="251"/>
        <v>5.9045669339312422E-3</v>
      </c>
      <c r="CD69" s="51">
        <f t="shared" si="251"/>
        <v>5.724914764935511E-3</v>
      </c>
      <c r="CE69" s="51">
        <f t="shared" si="251"/>
        <v>6.334970286982048E-3</v>
      </c>
      <c r="CF69" s="51">
        <f t="shared" si="251"/>
        <v>6.3177578011304825E-3</v>
      </c>
      <c r="CG69" s="51">
        <f t="shared" si="251"/>
        <v>6.2843515325550752E-3</v>
      </c>
      <c r="CH69" s="51">
        <f t="shared" si="251"/>
        <v>6.8384933289866974E-3</v>
      </c>
      <c r="CI69" s="51">
        <f t="shared" si="251"/>
        <v>7.0735043216992059E-3</v>
      </c>
      <c r="CJ69" s="51">
        <f t="shared" si="251"/>
        <v>7.3618032771203589E-3</v>
      </c>
      <c r="CK69" s="51">
        <f t="shared" si="251"/>
        <v>7.3334664892468118E-3</v>
      </c>
      <c r="CL69" s="51">
        <f t="shared" si="251"/>
        <v>7.4617564940427086E-3</v>
      </c>
      <c r="CM69" s="51">
        <f t="shared" si="251"/>
        <v>7.8389400503384981E-3</v>
      </c>
      <c r="CN69" s="51">
        <f t="shared" si="251"/>
        <v>7.9528293341987848E-3</v>
      </c>
      <c r="CO69" s="51">
        <f t="shared" ref="CO69:CP69" si="252">+CO70/CO68</f>
        <v>7.3646277467790374E-3</v>
      </c>
      <c r="CP69" s="51">
        <f t="shared" si="252"/>
        <v>7.2434243798759302E-3</v>
      </c>
      <c r="CQ69" s="51">
        <f t="shared" ref="CQ69:CR69" si="253">+CQ70/CQ68</f>
        <v>7.2690735463511874E-3</v>
      </c>
      <c r="CR69" s="51">
        <f t="shared" si="253"/>
        <v>6.884433484275399E-3</v>
      </c>
      <c r="CS69" s="51">
        <f t="shared" ref="CS69:CT69" si="254">+CS70/CS68</f>
        <v>6.1046165067896929E-3</v>
      </c>
      <c r="CT69" s="51">
        <f t="shared" si="254"/>
        <v>6.5263329834193088E-3</v>
      </c>
      <c r="CU69" s="51">
        <f t="shared" ref="CU69:CV69" si="255">+CU70/CU68</f>
        <v>6.626149159603867E-3</v>
      </c>
      <c r="CV69" s="51">
        <f t="shared" si="255"/>
        <v>6.5217233582592384E-3</v>
      </c>
      <c r="CW69" s="51">
        <f t="shared" ref="CW69:CY69" si="256">+CW70/CW68</f>
        <v>6.6033534477360906E-3</v>
      </c>
      <c r="CX69" s="51">
        <f t="shared" si="256"/>
        <v>6.7640559982723074E-3</v>
      </c>
      <c r="CY69" s="51">
        <f t="shared" si="256"/>
        <v>6.7414570992007251E-3</v>
      </c>
      <c r="CZ69" s="51">
        <f t="shared" ref="CZ69" si="257">+CZ70/CZ68</f>
        <v>6.851587668619403E-3</v>
      </c>
      <c r="DA69" s="50">
        <f>Assumptions!DA22</f>
        <v>7.8951206929592753E-3</v>
      </c>
      <c r="DB69" s="50">
        <f>Assumptions!DB22</f>
        <v>8.2951619711823781E-3</v>
      </c>
      <c r="DC69" s="50">
        <f>Assumptions!DC22</f>
        <v>8.7087020488801053E-3</v>
      </c>
      <c r="DD69" s="50">
        <f>Assumptions!DD22</f>
        <v>8.9648694232265548E-3</v>
      </c>
      <c r="DE69" s="50">
        <f>Assumptions!DE22</f>
        <v>8.7431116149023925E-3</v>
      </c>
      <c r="DF69" s="50">
        <f>Assumptions!DF22</f>
        <v>8.3707533454410524E-3</v>
      </c>
      <c r="DG69" s="50">
        <f>Assumptions!DG22</f>
        <v>8.3674586910215312E-3</v>
      </c>
      <c r="DH69" s="50">
        <f>Assumptions!DH22</f>
        <v>8.2374285624089855E-3</v>
      </c>
      <c r="DI69" s="50">
        <f>Assumptions!DI22</f>
        <v>8.184834435341376E-3</v>
      </c>
      <c r="DJ69" s="50">
        <f>Assumptions!DJ22</f>
        <v>8.0561032599897713E-3</v>
      </c>
      <c r="DK69" s="50">
        <f>Assumptions!DK22</f>
        <v>7.9867060835583075E-3</v>
      </c>
      <c r="DL69" s="50">
        <f>Assumptions!DL22</f>
        <v>7.8599281623848369E-3</v>
      </c>
      <c r="DM69" s="50">
        <f>Assumptions!DM22</f>
        <v>7.951041943329705E-3</v>
      </c>
      <c r="DN69" s="50">
        <f>Assumptions!DN22</f>
        <v>7.9672147702646613E-3</v>
      </c>
      <c r="DO69" s="50">
        <f>Assumptions!DO22</f>
        <v>7.9633257729216471E-3</v>
      </c>
      <c r="DP69" s="50">
        <f>Assumptions!DP22</f>
        <v>7.8972622700767756E-3</v>
      </c>
      <c r="DQ69" s="50">
        <f>Assumptions!DQ22</f>
        <v>7.8565274168695427E-3</v>
      </c>
      <c r="DR69" s="50">
        <f>Assumptions!DR22</f>
        <v>7.799082914674231E-3</v>
      </c>
      <c r="DS69" s="50">
        <f>Assumptions!DS22</f>
        <v>7.7940907113851609E-3</v>
      </c>
      <c r="DT69" s="50">
        <f>Assumptions!DT22</f>
        <v>7.7317335505635229E-3</v>
      </c>
      <c r="DU69" s="50">
        <f>Assumptions!DU22</f>
        <v>7.7517388608120347E-3</v>
      </c>
      <c r="DV69" s="50">
        <f>Assumptions!DV22</f>
        <v>7.6987929650996585E-3</v>
      </c>
      <c r="DW69" s="50">
        <f>Assumptions!DW22</f>
        <v>7.6938202733760688E-3</v>
      </c>
      <c r="DX69" s="50">
        <f>Assumptions!DX22</f>
        <v>7.6340392127206506E-3</v>
      </c>
    </row>
    <row r="70" spans="1:128" s="44" customFormat="1" ht="12">
      <c r="A70" s="47" t="s">
        <v>6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>
        <f>SUM(BY70:CB70)</f>
        <v>1259647.2527873302</v>
      </c>
      <c r="O70" s="46">
        <f>SUM(CC70:CF70)</f>
        <v>1102769.8120726799</v>
      </c>
      <c r="P70" s="46">
        <f>SUM(CG70:CJ70)</f>
        <v>1462029.80933708</v>
      </c>
      <c r="Q70" s="48">
        <f>SUM(CK70:CN70)</f>
        <v>1836718.1015462801</v>
      </c>
      <c r="R70" s="48">
        <f>SUM(CO70:CR70)</f>
        <v>2059479.2622328321</v>
      </c>
      <c r="S70" s="48">
        <f>SUM(CS70:CV70)</f>
        <v>2142699</v>
      </c>
      <c r="T70" s="46">
        <f>SUM(CW70:CZ70)</f>
        <v>2558049</v>
      </c>
      <c r="U70" s="45">
        <f ca="1">SUM(DA70:DD70)</f>
        <v>3862920.0766927791</v>
      </c>
      <c r="V70" s="45">
        <f ca="1">SUM(DE70:DH70)</f>
        <v>4177564.6431348892</v>
      </c>
      <c r="W70" s="45">
        <f ca="1">SUM(DI70:DL70)</f>
        <v>4300936.7964258492</v>
      </c>
      <c r="X70" s="45">
        <f ca="1">SUM(DM70:DP70)</f>
        <v>4601658.8064866606</v>
      </c>
      <c r="Y70" s="45">
        <f ca="1">SUM(DQ70:DT70)</f>
        <v>4895092.257410829</v>
      </c>
      <c r="Z70" s="45">
        <f ca="1">SUM(DU70:DX70)</f>
        <v>5276506.3053032411</v>
      </c>
      <c r="AB70" s="47" t="s">
        <v>5</v>
      </c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>
        <f t="shared" ref="BY70:CO70" si="258">-BY12</f>
        <v>383245.31433752005</v>
      </c>
      <c r="BZ70" s="46">
        <f t="shared" si="258"/>
        <v>328378.84080742986</v>
      </c>
      <c r="CA70" s="46">
        <f t="shared" si="258"/>
        <v>282539.1918167799</v>
      </c>
      <c r="CB70" s="46">
        <f t="shared" si="258"/>
        <v>265483.90582560026</v>
      </c>
      <c r="CC70" s="46">
        <f t="shared" si="258"/>
        <v>248218.37507595</v>
      </c>
      <c r="CD70" s="46">
        <f t="shared" si="258"/>
        <v>243184.42455987999</v>
      </c>
      <c r="CE70" s="46">
        <f t="shared" si="258"/>
        <v>288902.90899544989</v>
      </c>
      <c r="CF70" s="46">
        <f t="shared" si="258"/>
        <v>322464.10344140005</v>
      </c>
      <c r="CG70" s="46">
        <f t="shared" si="258"/>
        <v>336740.23356973997</v>
      </c>
      <c r="CH70" s="46">
        <f t="shared" si="258"/>
        <v>362600.92391103006</v>
      </c>
      <c r="CI70" s="46">
        <f t="shared" si="258"/>
        <v>372445.94119165</v>
      </c>
      <c r="CJ70" s="46">
        <f t="shared" si="258"/>
        <v>390242.71066466003</v>
      </c>
      <c r="CK70" s="46">
        <f t="shared" si="258"/>
        <v>408042.59399838001</v>
      </c>
      <c r="CL70" s="46">
        <f t="shared" si="258"/>
        <v>443542.76195493992</v>
      </c>
      <c r="CM70" s="46">
        <f t="shared" si="258"/>
        <v>478821.04368837009</v>
      </c>
      <c r="CN70" s="46">
        <f t="shared" si="258"/>
        <v>506311.70190458989</v>
      </c>
      <c r="CO70" s="46">
        <f t="shared" si="258"/>
        <v>502138.69950704998</v>
      </c>
      <c r="CP70" s="46">
        <f t="shared" ref="CP70:CQ70" si="259">-CP12</f>
        <v>520406.83070258005</v>
      </c>
      <c r="CQ70" s="46">
        <f t="shared" si="259"/>
        <v>530407.48657226551</v>
      </c>
      <c r="CR70" s="46">
        <f t="shared" ref="CR70:CS70" si="260">-CR12</f>
        <v>506526.24545093661</v>
      </c>
      <c r="CS70" s="46">
        <f t="shared" si="260"/>
        <v>474457</v>
      </c>
      <c r="CT70" s="46">
        <f t="shared" ref="CT70:CU70" si="261">-CT12</f>
        <v>534237</v>
      </c>
      <c r="CU70" s="46">
        <f t="shared" si="261"/>
        <v>562752</v>
      </c>
      <c r="CV70" s="46">
        <f t="shared" ref="CV70:CW70" si="262">-CV12</f>
        <v>571253</v>
      </c>
      <c r="CW70" s="46">
        <f t="shared" si="262"/>
        <v>591854</v>
      </c>
      <c r="CX70" s="46">
        <f t="shared" ref="CX70:CY70" si="263">-CX12</f>
        <v>620321</v>
      </c>
      <c r="CY70" s="46">
        <f t="shared" si="263"/>
        <v>651071</v>
      </c>
      <c r="CZ70" s="46">
        <f t="shared" ref="CZ70" si="264">-CZ12</f>
        <v>694803</v>
      </c>
      <c r="DA70" s="45">
        <f t="shared" ref="DA70:DP70" ca="1" si="265">+DA69*DA68</f>
        <v>856565.57785951591</v>
      </c>
      <c r="DB70" s="45">
        <f t="shared" ca="1" si="265"/>
        <v>945339.74148634623</v>
      </c>
      <c r="DC70" s="45">
        <f t="shared" ca="1" si="265"/>
        <v>1006824.3351040457</v>
      </c>
      <c r="DD70" s="45">
        <f t="shared" ca="1" si="265"/>
        <v>1054190.422242871</v>
      </c>
      <c r="DE70" s="45">
        <f t="shared" ca="1" si="265"/>
        <v>1049619.475874525</v>
      </c>
      <c r="DF70" s="45">
        <f t="shared" ca="1" si="265"/>
        <v>1028625.6347763781</v>
      </c>
      <c r="DG70" s="45">
        <f t="shared" ca="1" si="265"/>
        <v>1048263.2829178105</v>
      </c>
      <c r="DH70" s="45">
        <f t="shared" ca="1" si="265"/>
        <v>1051056.2495661755</v>
      </c>
      <c r="DI70" s="45">
        <f t="shared" ca="1" si="265"/>
        <v>1065513.7987399548</v>
      </c>
      <c r="DJ70" s="45">
        <f t="shared" ca="1" si="265"/>
        <v>1071901.9660925323</v>
      </c>
      <c r="DK70" s="45">
        <f t="shared" ca="1" si="265"/>
        <v>1081347.1902626075</v>
      </c>
      <c r="DL70" s="45">
        <f t="shared" ca="1" si="265"/>
        <v>1082173.8413307548</v>
      </c>
      <c r="DM70" s="45">
        <f t="shared" ca="1" si="265"/>
        <v>1116783.9187965211</v>
      </c>
      <c r="DN70" s="45">
        <f t="shared" ca="1" si="265"/>
        <v>1144651.811761921</v>
      </c>
      <c r="DO70" s="45">
        <f t="shared" ca="1" si="265"/>
        <v>1164667.0142833858</v>
      </c>
      <c r="DP70" s="45">
        <f t="shared" ca="1" si="265"/>
        <v>1175556.0616448328</v>
      </c>
      <c r="DQ70" s="45">
        <f t="shared" ref="DQ70:DT70" ca="1" si="266">+DQ69*DQ68</f>
        <v>1194297.0331348577</v>
      </c>
      <c r="DR70" s="45">
        <f t="shared" ca="1" si="266"/>
        <v>1214214.3079620572</v>
      </c>
      <c r="DS70" s="45">
        <f t="shared" ca="1" si="266"/>
        <v>1235715.7499183656</v>
      </c>
      <c r="DT70" s="45">
        <f t="shared" ca="1" si="266"/>
        <v>1250865.1663955487</v>
      </c>
      <c r="DU70" s="45">
        <f t="shared" ref="DU70:DX70" ca="1" si="267">+DU69*DU68</f>
        <v>1283135.8838909259</v>
      </c>
      <c r="DV70" s="45">
        <f t="shared" ca="1" si="267"/>
        <v>1307871.5052093219</v>
      </c>
      <c r="DW70" s="45">
        <f t="shared" ca="1" si="267"/>
        <v>1333378.1137474221</v>
      </c>
      <c r="DX70" s="45">
        <f t="shared" ca="1" si="267"/>
        <v>1352120.8024555712</v>
      </c>
    </row>
    <row r="71" spans="1:128">
      <c r="A71" s="41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43"/>
      <c r="R71" s="43"/>
      <c r="S71" s="43"/>
      <c r="T71" s="42"/>
      <c r="U71" s="42"/>
      <c r="V71" s="42"/>
      <c r="W71" s="42"/>
      <c r="X71" s="42"/>
      <c r="Y71" s="42"/>
      <c r="Z71" s="42"/>
      <c r="AB71" s="41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</row>
    <row r="72" spans="1:128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39"/>
      <c r="R72" s="39"/>
      <c r="S72" s="39"/>
      <c r="T72" s="36"/>
      <c r="U72" s="36"/>
      <c r="V72" s="36"/>
      <c r="W72" s="36"/>
      <c r="X72" s="36"/>
      <c r="Y72" s="36"/>
      <c r="Z72" s="36"/>
      <c r="AB72" s="37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</row>
    <row r="73" spans="1:128" s="33" customFormat="1" ht="10.199999999999999">
      <c r="Q73" s="35"/>
      <c r="R73" s="35"/>
      <c r="S73" s="35"/>
      <c r="T73" s="34"/>
      <c r="U73" s="34"/>
      <c r="V73" s="34"/>
      <c r="W73" s="34"/>
      <c r="X73" s="34"/>
      <c r="Y73" s="34"/>
      <c r="Z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</row>
    <row r="74" spans="1:128" s="33" customFormat="1" ht="10.199999999999999">
      <c r="Q74" s="35"/>
      <c r="R74" s="35"/>
      <c r="S74" s="35"/>
      <c r="T74" s="34"/>
      <c r="U74" s="34"/>
      <c r="V74" s="34"/>
      <c r="W74" s="34"/>
      <c r="X74" s="34"/>
      <c r="Y74" s="34"/>
      <c r="Z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</row>
    <row r="75" spans="1:128" s="33" customFormat="1" ht="10.199999999999999">
      <c r="Q75" s="35"/>
      <c r="R75" s="35"/>
      <c r="S75" s="35"/>
      <c r="T75" s="34"/>
      <c r="U75" s="34"/>
      <c r="V75" s="34"/>
      <c r="W75" s="34"/>
      <c r="X75" s="34"/>
      <c r="Y75" s="34"/>
      <c r="Z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</row>
    <row r="76" spans="1:128" s="33" customFormat="1" ht="10.199999999999999">
      <c r="Q76" s="35"/>
      <c r="R76" s="35"/>
      <c r="S76" s="35"/>
      <c r="T76" s="34"/>
      <c r="U76" s="34"/>
      <c r="V76" s="34"/>
      <c r="W76" s="34"/>
      <c r="X76" s="34"/>
      <c r="Y76" s="34"/>
      <c r="Z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</row>
  </sheetData>
  <pageMargins left="0.39370100000000002" right="0.39370100000000002" top="0.39370100000000002" bottom="0.39370100000000002" header="0.5" footer="0.5"/>
  <pageSetup orientation="portrait" r:id="rId1"/>
  <headerFooter alignWithMargins="0"/>
  <customProperties>
    <customPr name="Qube.Worksheet.Visibility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24"/>
  </sheetPr>
  <dimension ref="A1:DY112"/>
  <sheetViews>
    <sheetView showGridLines="0" zoomScaleNormal="100" workbookViewId="0">
      <pane xSplit="1" ySplit="7" topLeftCell="CU35" activePane="bottomRight" state="frozen"/>
      <selection activeCell="T7" sqref="T7"/>
      <selection pane="topRight" activeCell="T7" sqref="T7"/>
      <selection pane="bottomLeft" activeCell="T7" sqref="T7"/>
      <selection pane="bottomRight" activeCell="A85" sqref="A85:XFD85"/>
    </sheetView>
  </sheetViews>
  <sheetFormatPr baseColWidth="10" defaultColWidth="9" defaultRowHeight="11.4" outlineLevelCol="1"/>
  <cols>
    <col min="1" max="1" width="28.3984375" style="31" bestFit="1" customWidth="1"/>
    <col min="2" max="13" width="9.69921875" style="31" hidden="1" customWidth="1" outlineLevel="1"/>
    <col min="14" max="14" width="9.69921875" style="31" hidden="1" customWidth="1" outlineLevel="1" collapsed="1"/>
    <col min="15" max="15" width="9.69921875" style="31" hidden="1" customWidth="1" outlineLevel="1"/>
    <col min="16" max="16" width="9.69921875" style="31" customWidth="1" collapsed="1"/>
    <col min="17" max="19" width="9.69921875" style="32" customWidth="1"/>
    <col min="20" max="26" width="9.69921875" style="31" customWidth="1"/>
    <col min="27" max="27" width="7.3984375" style="31" customWidth="1"/>
    <col min="28" max="28" width="28.3984375" style="31" bestFit="1" customWidth="1"/>
    <col min="29" max="76" width="9.69921875" style="31" hidden="1" customWidth="1" outlineLevel="1"/>
    <col min="77" max="77" width="9.69921875" style="31" hidden="1" customWidth="1" outlineLevel="1" collapsed="1"/>
    <col min="78" max="84" width="9.69921875" style="31" hidden="1" customWidth="1" outlineLevel="1"/>
    <col min="85" max="85" width="9.69921875" style="31" customWidth="1" collapsed="1"/>
    <col min="86" max="128" width="9.69921875" style="31" customWidth="1"/>
    <col min="129" max="16384" width="9" style="33"/>
  </cols>
  <sheetData>
    <row r="1" spans="1:128" s="31" customFormat="1" ht="42.75" customHeight="1">
      <c r="A1" s="142"/>
      <c r="B1" s="146"/>
      <c r="C1" s="145"/>
      <c r="D1" s="142"/>
      <c r="E1" s="144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  <c r="R1" s="143"/>
      <c r="S1" s="143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  <c r="CI1" s="142"/>
      <c r="CJ1" s="142"/>
      <c r="CK1" s="142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</row>
    <row r="2" spans="1:128" s="31" customFormat="1" ht="1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6"/>
      <c r="R2" s="136"/>
      <c r="S2" s="136"/>
      <c r="T2" s="130"/>
      <c r="U2" s="130"/>
      <c r="V2" s="130"/>
      <c r="W2" s="130"/>
      <c r="X2" s="130"/>
      <c r="Y2" s="130"/>
      <c r="Z2" s="130"/>
      <c r="AA2" s="135"/>
      <c r="AB2" s="134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1"/>
      <c r="AQ2" s="132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</row>
    <row r="3" spans="1:128" s="31" customFormat="1" ht="22.8">
      <c r="A3" s="140" t="str">
        <f>'Income Statement'!A3</f>
        <v>Credicorp, Inc. (BAP)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6"/>
      <c r="R3" s="136"/>
      <c r="S3" s="136"/>
      <c r="T3" s="130"/>
      <c r="U3" s="130"/>
      <c r="V3" s="130"/>
      <c r="W3" s="130"/>
      <c r="X3" s="130"/>
      <c r="Y3" s="130"/>
      <c r="Z3" s="130"/>
      <c r="AA3" s="135"/>
      <c r="AB3" s="134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1"/>
      <c r="AQ3" s="132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</row>
    <row r="4" spans="1:128" s="31" customFormat="1" ht="15">
      <c r="A4" s="139" t="s">
        <v>210</v>
      </c>
      <c r="B4" s="131"/>
      <c r="C4" s="131"/>
      <c r="D4" s="131"/>
      <c r="E4" s="131"/>
      <c r="F4" s="131"/>
      <c r="G4" s="131"/>
      <c r="H4" s="131"/>
      <c r="I4" s="131"/>
      <c r="J4" s="131"/>
      <c r="K4" s="138"/>
      <c r="L4" s="138"/>
      <c r="M4" s="138"/>
      <c r="N4" s="138"/>
      <c r="O4" s="138"/>
      <c r="P4" s="138"/>
      <c r="Q4" s="136"/>
      <c r="R4" s="136"/>
      <c r="S4" s="136"/>
      <c r="T4" s="130"/>
      <c r="U4" s="130"/>
      <c r="V4" s="130"/>
      <c r="W4" s="130"/>
      <c r="X4" s="130"/>
      <c r="Y4" s="130"/>
      <c r="Z4" s="130"/>
      <c r="AA4" s="135"/>
      <c r="AB4" s="134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1"/>
      <c r="AQ4" s="132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</row>
    <row r="5" spans="1:128" s="31" customFormat="1" ht="15">
      <c r="A5" s="137" t="str">
        <f>+'Income Statement'!A5</f>
        <v>In NS$ thousands, unless otherwise noted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6"/>
      <c r="R5" s="136"/>
      <c r="S5" s="136"/>
      <c r="T5" s="130"/>
      <c r="U5" s="130"/>
      <c r="V5" s="130"/>
      <c r="W5" s="130"/>
      <c r="X5" s="130"/>
      <c r="Y5" s="130"/>
      <c r="Z5" s="130"/>
      <c r="AA5" s="135"/>
      <c r="AB5" s="134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1"/>
      <c r="AQ5" s="132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</row>
    <row r="6" spans="1:128" ht="10.199999999999999">
      <c r="A6" s="128" t="s">
        <v>58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99"/>
      <c r="R6" s="199"/>
      <c r="S6" s="199"/>
      <c r="T6" s="198"/>
      <c r="U6" s="198"/>
      <c r="V6" s="198"/>
      <c r="W6" s="198"/>
      <c r="X6" s="198"/>
      <c r="Y6" s="198"/>
      <c r="Z6" s="19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</row>
    <row r="7" spans="1:128" ht="10.199999999999999">
      <c r="A7" s="126" t="str">
        <f>'Income Statement'!A7</f>
        <v/>
      </c>
      <c r="B7" s="126">
        <f>'Income Statement'!B7</f>
        <v>1997</v>
      </c>
      <c r="C7" s="126">
        <f>'Income Statement'!C7</f>
        <v>1998</v>
      </c>
      <c r="D7" s="126">
        <f>'Income Statement'!D7</f>
        <v>1999</v>
      </c>
      <c r="E7" s="126">
        <f>'Income Statement'!E7</f>
        <v>2000</v>
      </c>
      <c r="F7" s="126">
        <f>'Income Statement'!F7</f>
        <v>2001</v>
      </c>
      <c r="G7" s="126">
        <f>'Income Statement'!G7</f>
        <v>2002</v>
      </c>
      <c r="H7" s="126">
        <f>'Income Statement'!H7</f>
        <v>2003</v>
      </c>
      <c r="I7" s="126">
        <f>'Income Statement'!I7</f>
        <v>2004</v>
      </c>
      <c r="J7" s="126">
        <f>'Income Statement'!J7</f>
        <v>2005</v>
      </c>
      <c r="K7" s="126">
        <f>'Income Statement'!K7</f>
        <v>2006</v>
      </c>
      <c r="L7" s="126">
        <f>'Income Statement'!L7</f>
        <v>2007</v>
      </c>
      <c r="M7" s="126">
        <f>'Income Statement'!M7</f>
        <v>2008</v>
      </c>
      <c r="N7" s="126">
        <f>'Income Statement'!N7</f>
        <v>2009</v>
      </c>
      <c r="O7" s="126">
        <f>'Income Statement'!O7</f>
        <v>2010</v>
      </c>
      <c r="P7" s="126">
        <f>'Income Statement'!P7</f>
        <v>2011</v>
      </c>
      <c r="Q7" s="129">
        <f>'Income Statement'!Q7</f>
        <v>2012</v>
      </c>
      <c r="R7" s="129">
        <f>'Income Statement'!R7</f>
        <v>2013</v>
      </c>
      <c r="S7" s="129">
        <f>'Income Statement'!S7</f>
        <v>2014</v>
      </c>
      <c r="T7" s="125">
        <f>'Income Statement'!T7</f>
        <v>2015</v>
      </c>
      <c r="U7" s="123" t="str">
        <f>'Income Statement'!U7</f>
        <v>2016E</v>
      </c>
      <c r="V7" s="123" t="str">
        <f>'Income Statement'!V7</f>
        <v>2017E</v>
      </c>
      <c r="W7" s="123" t="str">
        <f>'Income Statement'!W7</f>
        <v>2018E</v>
      </c>
      <c r="X7" s="123" t="str">
        <f>'Income Statement'!X7</f>
        <v>2019E</v>
      </c>
      <c r="Y7" s="123" t="str">
        <f>'Income Statement'!Y7</f>
        <v>2020E</v>
      </c>
      <c r="Z7" s="123" t="str">
        <f>'Income Statement'!Z7</f>
        <v>2021E</v>
      </c>
      <c r="AA7" s="128"/>
      <c r="AB7" s="126"/>
      <c r="AC7" s="126" t="str">
        <f>'Income Statement'!AC7</f>
        <v>1Q97</v>
      </c>
      <c r="AD7" s="126" t="str">
        <f>'Income Statement'!AD7</f>
        <v>2Q97</v>
      </c>
      <c r="AE7" s="126" t="str">
        <f>'Income Statement'!AE7</f>
        <v>3Q97</v>
      </c>
      <c r="AF7" s="126" t="str">
        <f>'Income Statement'!AF7</f>
        <v>4Q97</v>
      </c>
      <c r="AG7" s="126" t="str">
        <f>'Income Statement'!AG7</f>
        <v>1Q98</v>
      </c>
      <c r="AH7" s="126" t="str">
        <f>'Income Statement'!AH7</f>
        <v>2Q98</v>
      </c>
      <c r="AI7" s="126" t="str">
        <f>'Income Statement'!AI7</f>
        <v>3Q98</v>
      </c>
      <c r="AJ7" s="126" t="str">
        <f>'Income Statement'!AJ7</f>
        <v>4Q98</v>
      </c>
      <c r="AK7" s="126" t="str">
        <f>'Income Statement'!AK7</f>
        <v>1Q99</v>
      </c>
      <c r="AL7" s="126" t="str">
        <f>'Income Statement'!AL7</f>
        <v>2Q99</v>
      </c>
      <c r="AM7" s="126" t="str">
        <f>'Income Statement'!AM7</f>
        <v>3Q99</v>
      </c>
      <c r="AN7" s="126" t="str">
        <f>'Income Statement'!AN7</f>
        <v>4Q99</v>
      </c>
      <c r="AO7" s="126" t="str">
        <f>'Income Statement'!AO7</f>
        <v>1Q00</v>
      </c>
      <c r="AP7" s="126" t="str">
        <f>'Income Statement'!AP7</f>
        <v>2Q00</v>
      </c>
      <c r="AQ7" s="126" t="str">
        <f>'Income Statement'!AQ7</f>
        <v>3Q00</v>
      </c>
      <c r="AR7" s="126" t="str">
        <f>'Income Statement'!AR7</f>
        <v>4Q00</v>
      </c>
      <c r="AS7" s="126" t="str">
        <f>'Income Statement'!AS7</f>
        <v>1Q01</v>
      </c>
      <c r="AT7" s="126" t="str">
        <f>'Income Statement'!AT7</f>
        <v>2Q01</v>
      </c>
      <c r="AU7" s="126" t="str">
        <f>'Income Statement'!AU7</f>
        <v>3Q01</v>
      </c>
      <c r="AV7" s="126" t="str">
        <f>'Income Statement'!AV7</f>
        <v>4Q01</v>
      </c>
      <c r="AW7" s="126" t="str">
        <f>'Income Statement'!AW7</f>
        <v>1Q02</v>
      </c>
      <c r="AX7" s="126" t="str">
        <f>'Income Statement'!AX7</f>
        <v>2Q02</v>
      </c>
      <c r="AY7" s="126" t="str">
        <f>'Income Statement'!AY7</f>
        <v>3Q02</v>
      </c>
      <c r="AZ7" s="126" t="str">
        <f>'Income Statement'!AZ7</f>
        <v>4Q02</v>
      </c>
      <c r="BA7" s="126" t="str">
        <f>'Income Statement'!BA7</f>
        <v>1Q03</v>
      </c>
      <c r="BB7" s="126" t="str">
        <f>'Income Statement'!BB7</f>
        <v>2Q03</v>
      </c>
      <c r="BC7" s="126" t="str">
        <f>'Income Statement'!BC7</f>
        <v>3Q03</v>
      </c>
      <c r="BD7" s="126" t="str">
        <f>'Income Statement'!BD7</f>
        <v>4Q03</v>
      </c>
      <c r="BE7" s="126" t="str">
        <f>'Income Statement'!BE7</f>
        <v>1Q04</v>
      </c>
      <c r="BF7" s="126" t="str">
        <f>'Income Statement'!BF7</f>
        <v>2Q04</v>
      </c>
      <c r="BG7" s="126" t="str">
        <f>'Income Statement'!BG7</f>
        <v>3Q04</v>
      </c>
      <c r="BH7" s="126" t="str">
        <f>'Income Statement'!BH7</f>
        <v>4Q04</v>
      </c>
      <c r="BI7" s="126" t="str">
        <f>'Income Statement'!BI7</f>
        <v>1Q05</v>
      </c>
      <c r="BJ7" s="126" t="str">
        <f>'Income Statement'!BJ7</f>
        <v>2Q05</v>
      </c>
      <c r="BK7" s="126" t="str">
        <f>'Income Statement'!BK7</f>
        <v>3Q05</v>
      </c>
      <c r="BL7" s="126" t="str">
        <f>'Income Statement'!BL7</f>
        <v>4Q05</v>
      </c>
      <c r="BM7" s="127" t="str">
        <f>'Income Statement'!BM7</f>
        <v>1Q06</v>
      </c>
      <c r="BN7" s="126" t="str">
        <f>'Income Statement'!BN7</f>
        <v>2Q06</v>
      </c>
      <c r="BO7" s="126" t="str">
        <f>'Income Statement'!BO7</f>
        <v>3Q06</v>
      </c>
      <c r="BP7" s="127" t="str">
        <f>'Income Statement'!BP7</f>
        <v>4Q06</v>
      </c>
      <c r="BQ7" s="126" t="str">
        <f>'Income Statement'!BQ7</f>
        <v>1Q07</v>
      </c>
      <c r="BR7" s="126" t="str">
        <f>'Income Statement'!BR7</f>
        <v>2Q07</v>
      </c>
      <c r="BS7" s="127" t="str">
        <f>'Income Statement'!BS7</f>
        <v>3Q07</v>
      </c>
      <c r="BT7" s="126" t="str">
        <f>'Income Statement'!BT7</f>
        <v>4Q07</v>
      </c>
      <c r="BU7" s="126" t="str">
        <f>'Income Statement'!BU7</f>
        <v>1Q08</v>
      </c>
      <c r="BV7" s="127" t="str">
        <f>'Income Statement'!BV7</f>
        <v>2Q08</v>
      </c>
      <c r="BW7" s="126" t="str">
        <f>'Income Statement'!BW7</f>
        <v>3Q08</v>
      </c>
      <c r="BX7" s="126" t="str">
        <f>'Income Statement'!BX7</f>
        <v>4Q08</v>
      </c>
      <c r="BY7" s="126" t="str">
        <f>'Income Statement'!BY7</f>
        <v>1Q09</v>
      </c>
      <c r="BZ7" s="126" t="str">
        <f>'Income Statement'!BZ7</f>
        <v>2Q09</v>
      </c>
      <c r="CA7" s="126" t="str">
        <f>'Income Statement'!CA7</f>
        <v>3Q09</v>
      </c>
      <c r="CB7" s="126" t="str">
        <f>'Income Statement'!CB7</f>
        <v>4Q09</v>
      </c>
      <c r="CC7" s="126" t="str">
        <f>'Income Statement'!CC7</f>
        <v>1Q10</v>
      </c>
      <c r="CD7" s="126" t="str">
        <f>'Income Statement'!CD7</f>
        <v>2Q10</v>
      </c>
      <c r="CE7" s="126" t="str">
        <f>'Income Statement'!CE7</f>
        <v>3Q10</v>
      </c>
      <c r="CF7" s="126" t="str">
        <f>'Income Statement'!CF7</f>
        <v>4Q10</v>
      </c>
      <c r="CG7" s="126" t="str">
        <f>'Income Statement'!CG7</f>
        <v>1Q11</v>
      </c>
      <c r="CH7" s="126" t="str">
        <f>'Income Statement'!CH7</f>
        <v>2Q11</v>
      </c>
      <c r="CI7" s="126" t="str">
        <f>'Income Statement'!CI7</f>
        <v>3Q11</v>
      </c>
      <c r="CJ7" s="126" t="str">
        <f>'Income Statement'!CJ7</f>
        <v>4Q11</v>
      </c>
      <c r="CK7" s="126" t="str">
        <f>'Income Statement'!CK7</f>
        <v>1Q12</v>
      </c>
      <c r="CL7" s="126" t="str">
        <f>'Income Statement'!CL7</f>
        <v>2Q12</v>
      </c>
      <c r="CM7" s="126" t="str">
        <f>'Income Statement'!CM7</f>
        <v>3Q12</v>
      </c>
      <c r="CN7" s="129" t="str">
        <f>'Income Statement'!CN7</f>
        <v>4Q12</v>
      </c>
      <c r="CO7" s="129" t="str">
        <f>'Income Statement'!CO7</f>
        <v>1Q13</v>
      </c>
      <c r="CP7" s="129" t="str">
        <f>'Income Statement'!CP7</f>
        <v>2Q13</v>
      </c>
      <c r="CQ7" s="129" t="str">
        <f>'Income Statement'!CQ7</f>
        <v>3Q13</v>
      </c>
      <c r="CR7" s="129" t="str">
        <f>'Income Statement'!CR7</f>
        <v>4Q13</v>
      </c>
      <c r="CS7" s="129" t="str">
        <f>'Income Statement'!CS7</f>
        <v>1Q14</v>
      </c>
      <c r="CT7" s="129" t="str">
        <f>'Income Statement'!CT7</f>
        <v>2Q14</v>
      </c>
      <c r="CU7" s="129" t="str">
        <f>'Income Statement'!CU7</f>
        <v>3Q14</v>
      </c>
      <c r="CV7" s="129" t="str">
        <f>'Income Statement'!CV7</f>
        <v>4Q14</v>
      </c>
      <c r="CW7" s="129" t="str">
        <f>'Income Statement'!CW7</f>
        <v>1Q15</v>
      </c>
      <c r="CX7" s="125" t="str">
        <f>'Income Statement'!CX7</f>
        <v>2Q15</v>
      </c>
      <c r="CY7" s="125" t="str">
        <f>'Income Statement'!CY7</f>
        <v>3Q15</v>
      </c>
      <c r="CZ7" s="125" t="str">
        <f>'Income Statement'!CZ7</f>
        <v>4Q15</v>
      </c>
      <c r="DA7" s="123" t="str">
        <f>'Income Statement'!DA7</f>
        <v>1Q16E</v>
      </c>
      <c r="DB7" s="123" t="str">
        <f>'Income Statement'!DB7</f>
        <v>2Q16E</v>
      </c>
      <c r="DC7" s="124" t="str">
        <f>'Income Statement'!DC7</f>
        <v>3Q16E</v>
      </c>
      <c r="DD7" s="123" t="str">
        <f>'Income Statement'!DD7</f>
        <v>4Q16E</v>
      </c>
      <c r="DE7" s="123" t="str">
        <f>'Income Statement'!DE7</f>
        <v>1Q17E</v>
      </c>
      <c r="DF7" s="123" t="str">
        <f>'Income Statement'!DF7</f>
        <v>2Q17E</v>
      </c>
      <c r="DG7" s="124" t="str">
        <f>'Income Statement'!DG7</f>
        <v>3Q17E</v>
      </c>
      <c r="DH7" s="123" t="str">
        <f>'Income Statement'!DH7</f>
        <v>4Q17E</v>
      </c>
      <c r="DI7" s="123" t="str">
        <f>'Income Statement'!DI7</f>
        <v>1Q18E</v>
      </c>
      <c r="DJ7" s="123" t="str">
        <f>'Income Statement'!DJ7</f>
        <v>2Q18E</v>
      </c>
      <c r="DK7" s="124" t="str">
        <f>'Income Statement'!DK7</f>
        <v>3Q18E</v>
      </c>
      <c r="DL7" s="123" t="str">
        <f>'Income Statement'!DL7</f>
        <v>4Q18E</v>
      </c>
      <c r="DM7" s="123" t="str">
        <f>'Income Statement'!DM7</f>
        <v>1Q19E</v>
      </c>
      <c r="DN7" s="123" t="str">
        <f>'Income Statement'!DN7</f>
        <v>2Q19E</v>
      </c>
      <c r="DO7" s="124" t="str">
        <f>'Income Statement'!DO7</f>
        <v>3Q19E</v>
      </c>
      <c r="DP7" s="123" t="str">
        <f>'Income Statement'!DP7</f>
        <v>4Q19E</v>
      </c>
      <c r="DQ7" s="123" t="str">
        <f>'Income Statement'!DQ7</f>
        <v>1Q20E</v>
      </c>
      <c r="DR7" s="123" t="str">
        <f>'Income Statement'!DR7</f>
        <v>2Q20E</v>
      </c>
      <c r="DS7" s="124" t="str">
        <f>'Income Statement'!DS7</f>
        <v>3Q20E</v>
      </c>
      <c r="DT7" s="123" t="str">
        <f>'Income Statement'!DT7</f>
        <v>4Q20E</v>
      </c>
      <c r="DU7" s="123" t="str">
        <f>'Income Statement'!DU7</f>
        <v>1Q21E</v>
      </c>
      <c r="DV7" s="123" t="str">
        <f>'Income Statement'!DV7</f>
        <v>2Q21E</v>
      </c>
      <c r="DW7" s="124" t="str">
        <f>'Income Statement'!DW7</f>
        <v>3Q21E</v>
      </c>
      <c r="DX7" s="123" t="str">
        <f>'Income Statement'!DX7</f>
        <v>4Q21E</v>
      </c>
    </row>
    <row r="8" spans="1:128" ht="10.199999999999999">
      <c r="A8" s="128" t="s">
        <v>58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99"/>
      <c r="R8" s="199"/>
      <c r="S8" s="199"/>
      <c r="T8" s="596"/>
      <c r="U8" s="198"/>
      <c r="V8" s="198"/>
      <c r="W8" s="198"/>
      <c r="X8" s="198"/>
      <c r="Y8" s="198"/>
      <c r="Z8" s="19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198"/>
      <c r="CM8" s="198"/>
      <c r="CN8" s="198"/>
      <c r="CO8" s="198"/>
      <c r="CP8" s="198"/>
      <c r="CQ8" s="198"/>
      <c r="CR8" s="198"/>
      <c r="CS8" s="198"/>
      <c r="CT8" s="198"/>
      <c r="CU8" s="198"/>
      <c r="CV8" s="198"/>
      <c r="CW8" s="198"/>
      <c r="CX8" s="198"/>
      <c r="CY8" s="198"/>
      <c r="CZ8" s="596"/>
      <c r="DA8" s="198"/>
      <c r="DB8" s="198"/>
      <c r="DC8" s="198"/>
      <c r="DD8" s="198"/>
      <c r="DE8" s="198"/>
      <c r="DF8" s="198"/>
      <c r="DG8" s="198"/>
      <c r="DH8" s="198"/>
      <c r="DI8" s="198"/>
      <c r="DJ8" s="198"/>
      <c r="DK8" s="198"/>
      <c r="DL8" s="198"/>
      <c r="DM8" s="198"/>
      <c r="DN8" s="198"/>
      <c r="DO8" s="198"/>
      <c r="DP8" s="198"/>
      <c r="DQ8" s="198"/>
      <c r="DR8" s="198"/>
      <c r="DS8" s="198"/>
      <c r="DT8" s="198"/>
      <c r="DU8" s="198"/>
      <c r="DV8" s="198"/>
      <c r="DW8" s="198"/>
      <c r="DX8" s="198"/>
    </row>
    <row r="9" spans="1:128" ht="10.199999999999999">
      <c r="A9" s="206" t="s">
        <v>209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208"/>
      <c r="R9" s="208"/>
      <c r="S9" s="208"/>
      <c r="T9" s="605"/>
      <c r="U9" s="207"/>
      <c r="V9" s="207"/>
      <c r="W9" s="207"/>
      <c r="X9" s="207"/>
      <c r="Y9" s="207"/>
      <c r="Z9" s="207"/>
      <c r="AA9" s="118"/>
      <c r="AB9" s="206" t="str">
        <f>A9</f>
        <v>ASSETS</v>
      </c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  <c r="CY9" s="121"/>
      <c r="CZ9" s="585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</row>
    <row r="10" spans="1:128" ht="10.199999999999999">
      <c r="A10" s="206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208"/>
      <c r="R10" s="208"/>
      <c r="S10" s="208"/>
      <c r="T10" s="605"/>
      <c r="U10" s="207"/>
      <c r="V10" s="207"/>
      <c r="W10" s="207"/>
      <c r="X10" s="207"/>
      <c r="Y10" s="207"/>
      <c r="Z10" s="207"/>
      <c r="AA10" s="118"/>
      <c r="AB10" s="206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585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</row>
    <row r="11" spans="1:128" ht="10.199999999999999">
      <c r="A11" s="113" t="s">
        <v>208</v>
      </c>
      <c r="B11" s="118"/>
      <c r="C11" s="118"/>
      <c r="D11" s="118"/>
      <c r="E11" s="118"/>
      <c r="F11" s="118"/>
      <c r="G11" s="118"/>
      <c r="H11" s="93">
        <f>BD11</f>
        <v>0</v>
      </c>
      <c r="I11" s="93">
        <f>BH11</f>
        <v>0</v>
      </c>
      <c r="J11" s="93">
        <f>BL11</f>
        <v>0</v>
      </c>
      <c r="K11" s="93">
        <f>BP11</f>
        <v>0</v>
      </c>
      <c r="L11" s="93">
        <f>BT11</f>
        <v>0</v>
      </c>
      <c r="M11" s="93">
        <f>BX11</f>
        <v>0</v>
      </c>
      <c r="N11" s="93">
        <f>CB11</f>
        <v>2684608.3058307008</v>
      </c>
      <c r="O11" s="93">
        <f>CF11</f>
        <v>4562875.5121874698</v>
      </c>
      <c r="P11" s="93">
        <f>CJ11</f>
        <v>3066391.0998418401</v>
      </c>
      <c r="Q11" s="92">
        <f>CN11</f>
        <v>2512007.2575149997</v>
      </c>
      <c r="R11" s="92">
        <f>CR11</f>
        <v>4314348.3061490497</v>
      </c>
      <c r="S11" s="92">
        <f>CV11</f>
        <v>4351596</v>
      </c>
      <c r="T11" s="586">
        <f>CZ11</f>
        <v>3821611</v>
      </c>
      <c r="U11" s="91">
        <f>DD11</f>
        <v>8222798.0178047121</v>
      </c>
      <c r="V11" s="91">
        <f>DH11</f>
        <v>8995378.4316100571</v>
      </c>
      <c r="W11" s="91">
        <f>DL11</f>
        <v>9809235.8581254706</v>
      </c>
      <c r="X11" s="91">
        <f>DP11</f>
        <v>10723067.949897965</v>
      </c>
      <c r="Y11" s="91">
        <f>DT11</f>
        <v>11788611.10369472</v>
      </c>
      <c r="Z11" s="91">
        <f>DX11</f>
        <v>13027543.969719671</v>
      </c>
      <c r="AA11" s="33"/>
      <c r="AB11" s="113" t="str">
        <f>A11</f>
        <v>Non-interest bearing</v>
      </c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204">
        <v>2909357.8993139602</v>
      </c>
      <c r="BZ11" s="204">
        <v>2198100.9498931002</v>
      </c>
      <c r="CA11" s="204">
        <v>2177058.0860324791</v>
      </c>
      <c r="CB11" s="204">
        <v>2684608.3058307008</v>
      </c>
      <c r="CC11" s="204">
        <v>2725619.66564631</v>
      </c>
      <c r="CD11" s="204">
        <v>2428793.7515589599</v>
      </c>
      <c r="CE11" s="204">
        <v>2680822.0564683597</v>
      </c>
      <c r="CF11" s="204">
        <v>4562875.5121874698</v>
      </c>
      <c r="CG11" s="204">
        <v>3329541.0461162799</v>
      </c>
      <c r="CH11" s="204">
        <v>4187238.4874618994</v>
      </c>
      <c r="CI11" s="204">
        <v>2849201.1150658503</v>
      </c>
      <c r="CJ11" s="204">
        <v>3066391.0998418401</v>
      </c>
      <c r="CK11" s="204">
        <v>2698613.8417696501</v>
      </c>
      <c r="CL11" s="204">
        <v>2083949.68284608</v>
      </c>
      <c r="CM11" s="204">
        <v>2787129.0291545996</v>
      </c>
      <c r="CN11" s="204">
        <v>2512007.2575149997</v>
      </c>
      <c r="CO11" s="204">
        <v>3077288.9169234904</v>
      </c>
      <c r="CP11" s="204">
        <v>3364162.5076079792</v>
      </c>
      <c r="CQ11" s="204">
        <v>3253344.3706263797</v>
      </c>
      <c r="CR11" s="204">
        <v>4314348.3061490497</v>
      </c>
      <c r="CS11" s="204">
        <v>3916728</v>
      </c>
      <c r="CT11" s="204">
        <v>4268020</v>
      </c>
      <c r="CU11" s="204">
        <f>3563714-1</f>
        <v>3563713</v>
      </c>
      <c r="CV11" s="204">
        <v>4351596</v>
      </c>
      <c r="CW11" s="204">
        <v>4928093</v>
      </c>
      <c r="CX11" s="204">
        <v>3818604</v>
      </c>
      <c r="CY11" s="204">
        <v>3426781</v>
      </c>
      <c r="CZ11" s="204">
        <v>3821611</v>
      </c>
      <c r="DA11" s="203">
        <f>Assumptions!DA52*('Balance Sheet'!DA12+'Balance Sheet'!DA15+'Balance Sheet'!DA16+'Balance Sheet'!DA17+'Balance Sheet'!DA23+'Balance Sheet'!DA25+'Balance Sheet'!DA26+'Balance Sheet'!DA28+'Balance Sheet'!DA29)</f>
        <v>7923526.4736532718</v>
      </c>
      <c r="DB11" s="203">
        <f>Assumptions!DB52*('Balance Sheet'!DB12+'Balance Sheet'!DB15+'Balance Sheet'!DB16+'Balance Sheet'!DB17+'Balance Sheet'!DB23+'Balance Sheet'!DB25+'Balance Sheet'!DB26+'Balance Sheet'!DB28+'Balance Sheet'!DB29)</f>
        <v>7880894.5446538245</v>
      </c>
      <c r="DC11" s="203">
        <f>Assumptions!DC52*('Balance Sheet'!DC12+'Balance Sheet'!DC15+'Balance Sheet'!DC16+'Balance Sheet'!DC17+'Balance Sheet'!DC23+'Balance Sheet'!DC25+'Balance Sheet'!DC26+'Balance Sheet'!DC28+'Balance Sheet'!DC29)</f>
        <v>8231001.3368899496</v>
      </c>
      <c r="DD11" s="203">
        <f>Assumptions!DD52*('Balance Sheet'!DD12+'Balance Sheet'!DD15+'Balance Sheet'!DD16+'Balance Sheet'!DD17+'Balance Sheet'!DD23+'Balance Sheet'!DD25+'Balance Sheet'!DD26+'Balance Sheet'!DD28+'Balance Sheet'!DD29)</f>
        <v>8222798.0178047121</v>
      </c>
      <c r="DE11" s="203">
        <f>Assumptions!DE52*('Balance Sheet'!DE12+'Balance Sheet'!DE15+'Balance Sheet'!DE16+'Balance Sheet'!DE17+'Balance Sheet'!DE23+'Balance Sheet'!DE25+'Balance Sheet'!DE26+'Balance Sheet'!DE28+'Balance Sheet'!DE29)</f>
        <v>8577095.8388449904</v>
      </c>
      <c r="DF11" s="203">
        <f>Assumptions!DF52*('Balance Sheet'!DF12+'Balance Sheet'!DF15+'Balance Sheet'!DF16+'Balance Sheet'!DF17+'Balance Sheet'!DF23+'Balance Sheet'!DF25+'Balance Sheet'!DF26+'Balance Sheet'!DF28+'Balance Sheet'!DF29)</f>
        <v>8607125.5932851899</v>
      </c>
      <c r="DG11" s="203">
        <f>Assumptions!DG52*('Balance Sheet'!DG12+'Balance Sheet'!DG15+'Balance Sheet'!DG16+'Balance Sheet'!DG17+'Balance Sheet'!DG23+'Balance Sheet'!DG25+'Balance Sheet'!DG26+'Balance Sheet'!DG28+'Balance Sheet'!DG29)</f>
        <v>8965733.9542736467</v>
      </c>
      <c r="DH11" s="203">
        <f>Assumptions!DH52*('Balance Sheet'!DH12+'Balance Sheet'!DH15+'Balance Sheet'!DH16+'Balance Sheet'!DH17+'Balance Sheet'!DH23+'Balance Sheet'!DH25+'Balance Sheet'!DH26+'Balance Sheet'!DH28+'Balance Sheet'!DH29)</f>
        <v>8995378.4316100571</v>
      </c>
      <c r="DI11" s="203">
        <f>Assumptions!DI52*('Balance Sheet'!DI12+'Balance Sheet'!DI15+'Balance Sheet'!DI16+'Balance Sheet'!DI17+'Balance Sheet'!DI23+'Balance Sheet'!DI25+'Balance Sheet'!DI26+'Balance Sheet'!DI28+'Balance Sheet'!DI29)</f>
        <v>9335933.4904383868</v>
      </c>
      <c r="DJ11" s="203">
        <f>Assumptions!DJ52*('Balance Sheet'!DJ12+'Balance Sheet'!DJ15+'Balance Sheet'!DJ16+'Balance Sheet'!DJ17+'Balance Sheet'!DJ23+'Balance Sheet'!DJ25+'Balance Sheet'!DJ26+'Balance Sheet'!DJ28+'Balance Sheet'!DJ29)</f>
        <v>9396959.5029048901</v>
      </c>
      <c r="DK11" s="203">
        <f>Assumptions!DK52*('Balance Sheet'!DK12+'Balance Sheet'!DK15+'Balance Sheet'!DK16+'Balance Sheet'!DK17+'Balance Sheet'!DK23+'Balance Sheet'!DK25+'Balance Sheet'!DK26+'Balance Sheet'!DK28+'Balance Sheet'!DK29)</f>
        <v>9743157.4779998735</v>
      </c>
      <c r="DL11" s="203">
        <f>Assumptions!DL52*('Balance Sheet'!DL12+'Balance Sheet'!DL15+'Balance Sheet'!DL16+'Balance Sheet'!DL17+'Balance Sheet'!DL23+'Balance Sheet'!DL25+'Balance Sheet'!DL26+'Balance Sheet'!DL28+'Balance Sheet'!DL29)</f>
        <v>9809235.8581254706</v>
      </c>
      <c r="DM11" s="203">
        <f>Assumptions!DM52*('Balance Sheet'!DM12+'Balance Sheet'!DM15+'Balance Sheet'!DM16+'Balance Sheet'!DM17+'Balance Sheet'!DM23+'Balance Sheet'!DM25+'Balance Sheet'!DM26+'Balance Sheet'!DM28+'Balance Sheet'!DM29)</f>
        <v>10149389.845653974</v>
      </c>
      <c r="DN11" s="203">
        <f>Assumptions!DN52*('Balance Sheet'!DN12+'Balance Sheet'!DN15+'Balance Sheet'!DN16+'Balance Sheet'!DN17+'Balance Sheet'!DN23+'Balance Sheet'!DN25+'Balance Sheet'!DN26+'Balance Sheet'!DN28+'Balance Sheet'!DN29)</f>
        <v>10258882.788870117</v>
      </c>
      <c r="DO11" s="203">
        <f>Assumptions!DO52*('Balance Sheet'!DO12+'Balance Sheet'!DO15+'Balance Sheet'!DO16+'Balance Sheet'!DO17+'Balance Sheet'!DO23+'Balance Sheet'!DO25+'Balance Sheet'!DO26+'Balance Sheet'!DO28+'Balance Sheet'!DO29)</f>
        <v>10602897.438920094</v>
      </c>
      <c r="DP11" s="203">
        <f>Assumptions!DP52*('Balance Sheet'!DP12+'Balance Sheet'!DP15+'Balance Sheet'!DP16+'Balance Sheet'!DP17+'Balance Sheet'!DP23+'Balance Sheet'!DP25+'Balance Sheet'!DP26+'Balance Sheet'!DP28+'Balance Sheet'!DP29)</f>
        <v>10723067.949897965</v>
      </c>
      <c r="DQ11" s="203">
        <f>Assumptions!DQ52*('Balance Sheet'!DQ12+'Balance Sheet'!DQ15+'Balance Sheet'!DQ16+'Balance Sheet'!DQ17+'Balance Sheet'!DQ23+'Balance Sheet'!DQ25+'Balance Sheet'!DQ26+'Balance Sheet'!DQ28+'Balance Sheet'!DQ29)</f>
        <v>11059553.25610357</v>
      </c>
      <c r="DR11" s="203">
        <f>Assumptions!DR52*('Balance Sheet'!DR12+'Balance Sheet'!DR15+'Balance Sheet'!DR16+'Balance Sheet'!DR17+'Balance Sheet'!DR23+'Balance Sheet'!DR25+'Balance Sheet'!DR26+'Balance Sheet'!DR28+'Balance Sheet'!DR29)</f>
        <v>11233430.388867395</v>
      </c>
      <c r="DS11" s="203">
        <f>Assumptions!DS52*('Balance Sheet'!DS12+'Balance Sheet'!DS15+'Balance Sheet'!DS16+'Balance Sheet'!DS17+'Balance Sheet'!DS23+'Balance Sheet'!DS25+'Balance Sheet'!DS26+'Balance Sheet'!DS28+'Balance Sheet'!DS29)</f>
        <v>11567634.188868172</v>
      </c>
      <c r="DT11" s="203">
        <f>Assumptions!DT52*('Balance Sheet'!DT12+'Balance Sheet'!DT15+'Balance Sheet'!DT16+'Balance Sheet'!DT17+'Balance Sheet'!DT23+'Balance Sheet'!DT25+'Balance Sheet'!DT26+'Balance Sheet'!DT28+'Balance Sheet'!DT29)</f>
        <v>11788611.10369472</v>
      </c>
      <c r="DU11" s="203">
        <f>Assumptions!DU52*('Balance Sheet'!DU12+'Balance Sheet'!DU15+'Balance Sheet'!DU16+'Balance Sheet'!DU17+'Balance Sheet'!DU23+'Balance Sheet'!DU25+'Balance Sheet'!DU26+'Balance Sheet'!DU28+'Balance Sheet'!DU29)</f>
        <v>12100863.077445684</v>
      </c>
      <c r="DV11" s="203">
        <f>Assumptions!DV52*('Balance Sheet'!DV12+'Balance Sheet'!DV15+'Balance Sheet'!DV16+'Balance Sheet'!DV17+'Balance Sheet'!DV23+'Balance Sheet'!DV25+'Balance Sheet'!DV26+'Balance Sheet'!DV28+'Balance Sheet'!DV29)</f>
        <v>12384342.359546326</v>
      </c>
      <c r="DW11" s="203">
        <f>Assumptions!DW52*('Balance Sheet'!DW12+'Balance Sheet'!DW15+'Balance Sheet'!DW16+'Balance Sheet'!DW17+'Balance Sheet'!DW23+'Balance Sheet'!DW25+'Balance Sheet'!DW26+'Balance Sheet'!DW28+'Balance Sheet'!DW29)</f>
        <v>12695017.481102364</v>
      </c>
      <c r="DX11" s="203">
        <f>Assumptions!DX52*('Balance Sheet'!DX12+'Balance Sheet'!DX15+'Balance Sheet'!DX16+'Balance Sheet'!DX17+'Balance Sheet'!DX23+'Balance Sheet'!DX25+'Balance Sheet'!DX26+'Balance Sheet'!DX28+'Balance Sheet'!DX29)</f>
        <v>13027543.969719671</v>
      </c>
    </row>
    <row r="12" spans="1:128" ht="10.199999999999999">
      <c r="A12" s="113" t="s">
        <v>207</v>
      </c>
      <c r="B12" s="118"/>
      <c r="C12" s="118"/>
      <c r="D12" s="118"/>
      <c r="E12" s="118"/>
      <c r="F12" s="118"/>
      <c r="G12" s="118"/>
      <c r="H12" s="93">
        <f>BD12</f>
        <v>0</v>
      </c>
      <c r="I12" s="93">
        <f>BH12</f>
        <v>0</v>
      </c>
      <c r="J12" s="93">
        <f>BL12</f>
        <v>0</v>
      </c>
      <c r="K12" s="93">
        <f>BP12</f>
        <v>0</v>
      </c>
      <c r="L12" s="93">
        <f>BT12</f>
        <v>0</v>
      </c>
      <c r="M12" s="93">
        <f>BX12</f>
        <v>0</v>
      </c>
      <c r="N12" s="93">
        <f>CB12</f>
        <v>8375716.9945716001</v>
      </c>
      <c r="O12" s="93">
        <f>CF12</f>
        <v>19546366.100151662</v>
      </c>
      <c r="P12" s="93">
        <f>CJ12</f>
        <v>12127576.445338482</v>
      </c>
      <c r="Q12" s="92">
        <f>CN12</f>
        <v>17265611.9881575</v>
      </c>
      <c r="R12" s="92">
        <f>CR12</f>
        <v>17607951.429067351</v>
      </c>
      <c r="S12" s="92">
        <f>CV12</f>
        <v>21161164</v>
      </c>
      <c r="T12" s="586">
        <f>CZ12</f>
        <v>28650927</v>
      </c>
      <c r="U12" s="91">
        <f>DD12</f>
        <v>29584663.269163322</v>
      </c>
      <c r="V12" s="91">
        <f>DH12</f>
        <v>30464797.128113534</v>
      </c>
      <c r="W12" s="91">
        <f>DL12</f>
        <v>31378741.041956931</v>
      </c>
      <c r="X12" s="91">
        <f>DP12</f>
        <v>32320103.273215625</v>
      </c>
      <c r="Y12" s="91">
        <f>DT12</f>
        <v>33289706.371412084</v>
      </c>
      <c r="Z12" s="91">
        <f>DX12</f>
        <v>34288397.562554434</v>
      </c>
      <c r="AA12" s="33"/>
      <c r="AB12" s="113" t="str">
        <f>A12</f>
        <v>Interest bearing</v>
      </c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204">
        <v>9577815.931779841</v>
      </c>
      <c r="BZ12" s="204">
        <v>8357545.7353556007</v>
      </c>
      <c r="CA12" s="204">
        <v>7881039.8032091614</v>
      </c>
      <c r="CB12" s="204">
        <v>8375716.9945716001</v>
      </c>
      <c r="CC12" s="204">
        <v>7127705.3547273623</v>
      </c>
      <c r="CD12" s="204">
        <v>7243790.5140624</v>
      </c>
      <c r="CE12" s="204">
        <v>8099371.9784168405</v>
      </c>
      <c r="CF12" s="204">
        <v>19546366.100151662</v>
      </c>
      <c r="CG12" s="204">
        <v>16461493.527808916</v>
      </c>
      <c r="CH12" s="204">
        <v>10809644.438689679</v>
      </c>
      <c r="CI12" s="204">
        <v>11192345.825444549</v>
      </c>
      <c r="CJ12" s="204">
        <v>12127576.445338482</v>
      </c>
      <c r="CK12" s="204">
        <v>14123774.968814699</v>
      </c>
      <c r="CL12" s="204">
        <v>12677937.530374369</v>
      </c>
      <c r="CM12" s="204">
        <v>14683285.833408242</v>
      </c>
      <c r="CN12" s="204">
        <v>17265611.9881575</v>
      </c>
      <c r="CO12" s="204">
        <v>19576228.620365221</v>
      </c>
      <c r="CP12" s="204">
        <v>17286981.964776423</v>
      </c>
      <c r="CQ12" s="204">
        <v>18249609.543588061</v>
      </c>
      <c r="CR12" s="204">
        <v>17607951.429067351</v>
      </c>
      <c r="CS12" s="204">
        <v>19451506</v>
      </c>
      <c r="CT12" s="204">
        <v>18840530</v>
      </c>
      <c r="CU12" s="204">
        <v>20739067</v>
      </c>
      <c r="CV12" s="204">
        <v>21161164</v>
      </c>
      <c r="CW12" s="204">
        <v>21839400</v>
      </c>
      <c r="CX12" s="204">
        <v>24789029</v>
      </c>
      <c r="CY12" s="204">
        <v>27955357</v>
      </c>
      <c r="CZ12" s="204">
        <v>28650927</v>
      </c>
      <c r="DA12" s="203">
        <f>(1+Assumptions!DA53)*'Balance Sheet'!CZ12</f>
        <v>28886964.332750056</v>
      </c>
      <c r="DB12" s="203">
        <f>(1+Assumptions!DB53)*'Balance Sheet'!DA12</f>
        <v>29129433.580213401</v>
      </c>
      <c r="DC12" s="203">
        <f>(1+Assumptions!DC53)*'Balance Sheet'!DB12</f>
        <v>29359723.701658808</v>
      </c>
      <c r="DD12" s="203">
        <f>(1+Assumptions!DD53)*'Balance Sheet'!DC12</f>
        <v>29584663.269163322</v>
      </c>
      <c r="DE12" s="203">
        <f>(1+Assumptions!DE53)*'Balance Sheet'!DD12</f>
        <v>29811326.211504169</v>
      </c>
      <c r="DF12" s="203">
        <f>(1+Assumptions!DF53)*'Balance Sheet'!DE12</f>
        <v>30025146.875451196</v>
      </c>
      <c r="DG12" s="203">
        <f>(1+Assumptions!DG53)*'Balance Sheet'!DF12</f>
        <v>30240501.160412144</v>
      </c>
      <c r="DH12" s="203">
        <f>(1+Assumptions!DH53)*'Balance Sheet'!DG12</f>
        <v>30464797.128113534</v>
      </c>
      <c r="DI12" s="203">
        <f>(1+Assumptions!DI53)*'Balance Sheet'!DH12</f>
        <v>30690756.715106823</v>
      </c>
      <c r="DJ12" s="203">
        <f>(1+Assumptions!DJ53)*'Balance Sheet'!DI12</f>
        <v>30918392.260575708</v>
      </c>
      <c r="DK12" s="203">
        <f>(1+Assumptions!DK53)*'Balance Sheet'!DJ12</f>
        <v>31147716.195224497</v>
      </c>
      <c r="DL12" s="203">
        <f>(1+Assumptions!DL53)*'Balance Sheet'!DK12</f>
        <v>31378741.041956931</v>
      </c>
      <c r="DM12" s="203">
        <f>(1+Assumptions!DM53)*'Balance Sheet'!DL12</f>
        <v>31611479.416560017</v>
      </c>
      <c r="DN12" s="203">
        <f>(1+Assumptions!DN53)*'Balance Sheet'!DM12</f>
        <v>31845944.028392967</v>
      </c>
      <c r="DO12" s="203">
        <f>(1+Assumptions!DO53)*'Balance Sheet'!DN12</f>
        <v>32082147.681081221</v>
      </c>
      <c r="DP12" s="203">
        <f>(1+Assumptions!DP53)*'Balance Sheet'!DO12</f>
        <v>32320103.273215625</v>
      </c>
      <c r="DQ12" s="203">
        <f>(1+Assumptions!DQ53)*'Balance Sheet'!DP12</f>
        <v>32559823.799056806</v>
      </c>
      <c r="DR12" s="203">
        <f>(1+Assumptions!DR53)*'Balance Sheet'!DQ12</f>
        <v>32801322.349244744</v>
      </c>
      <c r="DS12" s="203">
        <f>(1+Assumptions!DS53)*'Balance Sheet'!DR12</f>
        <v>33044612.111513644</v>
      </c>
      <c r="DT12" s="203">
        <f>(1+Assumptions!DT53)*'Balance Sheet'!DS12</f>
        <v>33289706.371412084</v>
      </c>
      <c r="DU12" s="203">
        <f>(1+Assumptions!DU53)*'Balance Sheet'!DT12</f>
        <v>33536618.513028499</v>
      </c>
      <c r="DV12" s="203">
        <f>(1+Assumptions!DV53)*'Balance Sheet'!DU12</f>
        <v>33785362.019722074</v>
      </c>
      <c r="DW12" s="203">
        <f>(1+Assumptions!DW53)*'Balance Sheet'!DV12</f>
        <v>34035950.474859044</v>
      </c>
      <c r="DX12" s="203">
        <f>(1+Assumptions!DX53)*'Balance Sheet'!DW12</f>
        <v>34288397.562554434</v>
      </c>
    </row>
    <row r="13" spans="1:128" ht="10.199999999999999">
      <c r="A13" s="111" t="s">
        <v>206</v>
      </c>
      <c r="B13" s="107"/>
      <c r="C13" s="107"/>
      <c r="D13" s="107"/>
      <c r="E13" s="107"/>
      <c r="F13" s="107"/>
      <c r="G13" s="107"/>
      <c r="H13" s="183">
        <f t="shared" ref="H13:X13" si="0">H11+H12</f>
        <v>0</v>
      </c>
      <c r="I13" s="183">
        <f t="shared" si="0"/>
        <v>0</v>
      </c>
      <c r="J13" s="183">
        <f t="shared" si="0"/>
        <v>0</v>
      </c>
      <c r="K13" s="183">
        <f t="shared" si="0"/>
        <v>0</v>
      </c>
      <c r="L13" s="183">
        <f t="shared" si="0"/>
        <v>0</v>
      </c>
      <c r="M13" s="183">
        <f t="shared" si="0"/>
        <v>0</v>
      </c>
      <c r="N13" s="183">
        <f t="shared" si="0"/>
        <v>11060325.3004023</v>
      </c>
      <c r="O13" s="183">
        <f t="shared" si="0"/>
        <v>24109241.612339132</v>
      </c>
      <c r="P13" s="183">
        <f t="shared" si="0"/>
        <v>15193967.545180323</v>
      </c>
      <c r="Q13" s="202">
        <f t="shared" si="0"/>
        <v>19777619.245672498</v>
      </c>
      <c r="R13" s="202">
        <f t="shared" si="0"/>
        <v>21922299.735216402</v>
      </c>
      <c r="S13" s="202">
        <f t="shared" si="0"/>
        <v>25512760</v>
      </c>
      <c r="T13" s="587">
        <f t="shared" si="0"/>
        <v>32472538</v>
      </c>
      <c r="U13" s="201">
        <f t="shared" si="0"/>
        <v>37807461.286968037</v>
      </c>
      <c r="V13" s="201">
        <f t="shared" si="0"/>
        <v>39460175.559723593</v>
      </c>
      <c r="W13" s="201">
        <f t="shared" si="0"/>
        <v>41187976.900082402</v>
      </c>
      <c r="X13" s="201">
        <f t="shared" si="0"/>
        <v>43043171.223113589</v>
      </c>
      <c r="Y13" s="201">
        <f>Y11+Y12</f>
        <v>45078317.475106806</v>
      </c>
      <c r="Z13" s="201">
        <f>Z11+Z12</f>
        <v>47315941.532274105</v>
      </c>
      <c r="AA13" s="33"/>
      <c r="AB13" s="111" t="str">
        <f>A13</f>
        <v>Total cash and due from banks</v>
      </c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83">
        <f t="shared" ref="BY13:CQ13" si="1">BY11+BY12</f>
        <v>12487173.831093801</v>
      </c>
      <c r="BZ13" s="183">
        <f t="shared" si="1"/>
        <v>10555646.685248701</v>
      </c>
      <c r="CA13" s="183">
        <f t="shared" si="1"/>
        <v>10058097.88924164</v>
      </c>
      <c r="CB13" s="183">
        <f t="shared" si="1"/>
        <v>11060325.3004023</v>
      </c>
      <c r="CC13" s="183">
        <f t="shared" si="1"/>
        <v>9853325.0203736722</v>
      </c>
      <c r="CD13" s="183">
        <f t="shared" si="1"/>
        <v>9672584.2656213604</v>
      </c>
      <c r="CE13" s="183">
        <f t="shared" si="1"/>
        <v>10780194.0348852</v>
      </c>
      <c r="CF13" s="183">
        <f t="shared" si="1"/>
        <v>24109241.612339132</v>
      </c>
      <c r="CG13" s="183">
        <f t="shared" si="1"/>
        <v>19791034.573925197</v>
      </c>
      <c r="CH13" s="183">
        <f t="shared" si="1"/>
        <v>14996882.926151577</v>
      </c>
      <c r="CI13" s="183">
        <f t="shared" si="1"/>
        <v>14041546.9405104</v>
      </c>
      <c r="CJ13" s="183">
        <f t="shared" si="1"/>
        <v>15193967.545180323</v>
      </c>
      <c r="CK13" s="183">
        <f t="shared" si="1"/>
        <v>16822388.810584348</v>
      </c>
      <c r="CL13" s="183">
        <f t="shared" si="1"/>
        <v>14761887.213220449</v>
      </c>
      <c r="CM13" s="183">
        <f t="shared" si="1"/>
        <v>17470414.862562843</v>
      </c>
      <c r="CN13" s="183">
        <f t="shared" si="1"/>
        <v>19777619.245672498</v>
      </c>
      <c r="CO13" s="183">
        <f t="shared" si="1"/>
        <v>22653517.53728871</v>
      </c>
      <c r="CP13" s="183">
        <f t="shared" si="1"/>
        <v>20651144.472384401</v>
      </c>
      <c r="CQ13" s="183">
        <f t="shared" si="1"/>
        <v>21502953.91421444</v>
      </c>
      <c r="CR13" s="183">
        <f t="shared" ref="CR13" si="2">CR11+CR12</f>
        <v>21922299.735216402</v>
      </c>
      <c r="CS13" s="183">
        <f t="shared" ref="CS13:CT13" si="3">CS11+CS12</f>
        <v>23368234</v>
      </c>
      <c r="CT13" s="183">
        <f t="shared" si="3"/>
        <v>23108550</v>
      </c>
      <c r="CU13" s="183">
        <f t="shared" ref="CU13:CV13" si="4">CU11+CU12</f>
        <v>24302780</v>
      </c>
      <c r="CV13" s="183">
        <f t="shared" si="4"/>
        <v>25512760</v>
      </c>
      <c r="CW13" s="183">
        <f t="shared" ref="CW13" si="5">CW11+CW12</f>
        <v>26767493</v>
      </c>
      <c r="CX13" s="584">
        <f t="shared" ref="CX13:DP13" si="6">CX11+CX12</f>
        <v>28607633</v>
      </c>
      <c r="CY13" s="584">
        <f t="shared" ref="CY13:CZ13" si="7">CY11+CY12</f>
        <v>31382138</v>
      </c>
      <c r="CZ13" s="584">
        <f t="shared" si="7"/>
        <v>32472538</v>
      </c>
      <c r="DA13" s="200">
        <f t="shared" si="6"/>
        <v>36810490.806403324</v>
      </c>
      <c r="DB13" s="200">
        <f t="shared" si="6"/>
        <v>37010328.124867223</v>
      </c>
      <c r="DC13" s="200">
        <f t="shared" si="6"/>
        <v>37590725.03854876</v>
      </c>
      <c r="DD13" s="200">
        <f t="shared" si="6"/>
        <v>37807461.286968037</v>
      </c>
      <c r="DE13" s="200">
        <f t="shared" si="6"/>
        <v>38388422.050349161</v>
      </c>
      <c r="DF13" s="200">
        <f t="shared" si="6"/>
        <v>38632272.468736388</v>
      </c>
      <c r="DG13" s="200">
        <f t="shared" si="6"/>
        <v>39206235.114685789</v>
      </c>
      <c r="DH13" s="200">
        <f t="shared" si="6"/>
        <v>39460175.559723593</v>
      </c>
      <c r="DI13" s="200">
        <f t="shared" si="6"/>
        <v>40026690.205545209</v>
      </c>
      <c r="DJ13" s="200">
        <f t="shared" si="6"/>
        <v>40315351.763480596</v>
      </c>
      <c r="DK13" s="200">
        <f t="shared" si="6"/>
        <v>40890873.673224375</v>
      </c>
      <c r="DL13" s="200">
        <f t="shared" si="6"/>
        <v>41187976.900082402</v>
      </c>
      <c r="DM13" s="200">
        <f t="shared" si="6"/>
        <v>41760869.26221399</v>
      </c>
      <c r="DN13" s="200">
        <f t="shared" si="6"/>
        <v>42104826.817263082</v>
      </c>
      <c r="DO13" s="200">
        <f t="shared" si="6"/>
        <v>42685045.120001316</v>
      </c>
      <c r="DP13" s="200">
        <f t="shared" si="6"/>
        <v>43043171.223113589</v>
      </c>
      <c r="DQ13" s="200">
        <f t="shared" ref="DQ13:DT13" si="8">DQ11+DQ12</f>
        <v>43619377.055160373</v>
      </c>
      <c r="DR13" s="200">
        <f t="shared" si="8"/>
        <v>44034752.738112137</v>
      </c>
      <c r="DS13" s="200">
        <f t="shared" si="8"/>
        <v>44612246.300381817</v>
      </c>
      <c r="DT13" s="200">
        <f t="shared" si="8"/>
        <v>45078317.475106806</v>
      </c>
      <c r="DU13" s="200">
        <f t="shared" ref="DU13:DX13" si="9">DU11+DU12</f>
        <v>45637481.590474181</v>
      </c>
      <c r="DV13" s="200">
        <f t="shared" si="9"/>
        <v>46169704.3792684</v>
      </c>
      <c r="DW13" s="200">
        <f t="shared" si="9"/>
        <v>46730967.955961406</v>
      </c>
      <c r="DX13" s="200">
        <f t="shared" si="9"/>
        <v>47315941.532274105</v>
      </c>
    </row>
    <row r="14" spans="1:128" ht="10.199999999999999">
      <c r="A14" s="102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122"/>
      <c r="R14" s="122"/>
      <c r="S14" s="122"/>
      <c r="T14" s="585"/>
      <c r="U14" s="121"/>
      <c r="V14" s="121"/>
      <c r="W14" s="121"/>
      <c r="X14" s="121"/>
      <c r="Y14" s="121"/>
      <c r="Z14" s="121"/>
      <c r="AA14" s="33"/>
      <c r="AB14" s="102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585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</row>
    <row r="15" spans="1:128" ht="10.199999999999999">
      <c r="A15" s="102" t="s">
        <v>23</v>
      </c>
      <c r="B15" s="118"/>
      <c r="C15" s="118"/>
      <c r="D15" s="118"/>
      <c r="E15" s="118"/>
      <c r="F15" s="118"/>
      <c r="G15" s="118"/>
      <c r="H15" s="93">
        <f>BD15</f>
        <v>0</v>
      </c>
      <c r="I15" s="93">
        <f>BH15</f>
        <v>0</v>
      </c>
      <c r="J15" s="93">
        <f>BL15</f>
        <v>0</v>
      </c>
      <c r="K15" s="93">
        <f>BP15</f>
        <v>0</v>
      </c>
      <c r="L15" s="93">
        <f>BT15</f>
        <v>0</v>
      </c>
      <c r="M15" s="93">
        <f>BX15</f>
        <v>0</v>
      </c>
      <c r="N15" s="93">
        <f>CB15</f>
        <v>278661.59149780002</v>
      </c>
      <c r="O15" s="93">
        <f>CF15</f>
        <v>197559.86380370997</v>
      </c>
      <c r="P15" s="93">
        <f>CJ15</f>
        <v>166330.52591528001</v>
      </c>
      <c r="Q15" s="92">
        <f>CN15</f>
        <v>256959.4872945</v>
      </c>
      <c r="R15" s="92">
        <f>CR15</f>
        <v>189186.95701425002</v>
      </c>
      <c r="S15" s="92">
        <f>CV15</f>
        <v>167654</v>
      </c>
      <c r="T15" s="586">
        <f>CZ15</f>
        <v>222496</v>
      </c>
      <c r="U15" s="91">
        <f>DD15</f>
        <v>229747.16450660612</v>
      </c>
      <c r="V15" s="91">
        <f>DH15</f>
        <v>236582.06597701879</v>
      </c>
      <c r="W15" s="91">
        <f>DL15</f>
        <v>243679.52795632929</v>
      </c>
      <c r="X15" s="91">
        <f>DP15</f>
        <v>250989.91379501909</v>
      </c>
      <c r="Y15" s="91">
        <f>DT15</f>
        <v>258519.61120886961</v>
      </c>
      <c r="Z15" s="91">
        <f>DX15</f>
        <v>266275.19954513566</v>
      </c>
      <c r="AA15" s="33"/>
      <c r="AB15" s="102" t="str">
        <f>A15</f>
        <v>Due from customers on acceptances</v>
      </c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204">
        <v>640301.43519585999</v>
      </c>
      <c r="BZ15" s="204">
        <v>479813.64332020003</v>
      </c>
      <c r="CA15" s="204">
        <v>184289.07525252001</v>
      </c>
      <c r="CB15" s="204">
        <v>278661.59149780002</v>
      </c>
      <c r="CC15" s="204">
        <v>223855.26174710999</v>
      </c>
      <c r="CD15" s="204">
        <v>179029.10846645999</v>
      </c>
      <c r="CE15" s="204">
        <v>161371.05333651</v>
      </c>
      <c r="CF15" s="204">
        <v>197559.86380370997</v>
      </c>
      <c r="CG15" s="204">
        <v>150599.50080052001</v>
      </c>
      <c r="CH15" s="204">
        <v>179839.61862344999</v>
      </c>
      <c r="CI15" s="204">
        <v>233556.72700706002</v>
      </c>
      <c r="CJ15" s="204">
        <v>166330.52591528001</v>
      </c>
      <c r="CK15" s="204">
        <v>153369.28985846997</v>
      </c>
      <c r="CL15" s="204">
        <v>177158.59385122001</v>
      </c>
      <c r="CM15" s="204">
        <v>128315.80499166001</v>
      </c>
      <c r="CN15" s="204">
        <v>256959.4872945</v>
      </c>
      <c r="CO15" s="204">
        <v>134047.68675681</v>
      </c>
      <c r="CP15" s="204">
        <v>139830.93636485998</v>
      </c>
      <c r="CQ15" s="204">
        <v>179729.78404316001</v>
      </c>
      <c r="CR15" s="204">
        <v>189186.95701425002</v>
      </c>
      <c r="CS15" s="204">
        <v>135841</v>
      </c>
      <c r="CT15" s="204">
        <v>152901</v>
      </c>
      <c r="CU15" s="204">
        <v>175687</v>
      </c>
      <c r="CV15" s="204">
        <v>167654</v>
      </c>
      <c r="CW15" s="204">
        <v>169480</v>
      </c>
      <c r="CX15" s="204">
        <v>151952</v>
      </c>
      <c r="CY15" s="204">
        <v>201357</v>
      </c>
      <c r="CZ15" s="204">
        <v>222496</v>
      </c>
      <c r="DA15" s="203">
        <f>(1+Assumptions!DA54)*'Balance Sheet'!CZ15</f>
        <v>224329.00744117482</v>
      </c>
      <c r="DB15" s="203">
        <f>(1+Assumptions!DB54)*'Balance Sheet'!DA15</f>
        <v>226211.96353832327</v>
      </c>
      <c r="DC15" s="203">
        <f>(1+Assumptions!DC54)*'Balance Sheet'!DB15</f>
        <v>228000.33956054121</v>
      </c>
      <c r="DD15" s="203">
        <f>(1+Assumptions!DD54)*'Balance Sheet'!DC15</f>
        <v>229747.16450660612</v>
      </c>
      <c r="DE15" s="203">
        <f>(1+Assumptions!DE54)*'Balance Sheet'!DD15</f>
        <v>231507.37275463485</v>
      </c>
      <c r="DF15" s="203">
        <f>(1+Assumptions!DF54)*'Balance Sheet'!DE15</f>
        <v>233167.85105069689</v>
      </c>
      <c r="DG15" s="203">
        <f>(1+Assumptions!DG54)*'Balance Sheet'!DF15</f>
        <v>234840.23906755479</v>
      </c>
      <c r="DH15" s="203">
        <f>(1+Assumptions!DH54)*'Balance Sheet'!DG15</f>
        <v>236582.06597701879</v>
      </c>
      <c r="DI15" s="203">
        <f>(1+Assumptions!DI54)*'Balance Sheet'!DH15</f>
        <v>238336.81214169468</v>
      </c>
      <c r="DJ15" s="203">
        <f>(1+Assumptions!DJ54)*'Balance Sheet'!DI15</f>
        <v>240104.57338462566</v>
      </c>
      <c r="DK15" s="203">
        <f>(1+Assumptions!DK54)*'Balance Sheet'!DJ15</f>
        <v>241885.44623958136</v>
      </c>
      <c r="DL15" s="203">
        <f>(1+Assumptions!DL54)*'Balance Sheet'!DK15</f>
        <v>243679.52795632929</v>
      </c>
      <c r="DM15" s="203">
        <f>(1+Assumptions!DM54)*'Balance Sheet'!DL15</f>
        <v>245486.91650594544</v>
      </c>
      <c r="DN15" s="203">
        <f>(1+Assumptions!DN54)*'Balance Sheet'!DM15</f>
        <v>247307.71058616435</v>
      </c>
      <c r="DO15" s="203">
        <f>(1+Assumptions!DO54)*'Balance Sheet'!DN15</f>
        <v>249142.00962676873</v>
      </c>
      <c r="DP15" s="203">
        <f>(1+Assumptions!DP54)*'Balance Sheet'!DO15</f>
        <v>250989.91379501909</v>
      </c>
      <c r="DQ15" s="203">
        <f>(1+Assumptions!DQ54)*'Balance Sheet'!DP15</f>
        <v>252851.52400112373</v>
      </c>
      <c r="DR15" s="203">
        <f>(1+Assumptions!DR54)*'Balance Sheet'!DQ15</f>
        <v>254726.94190374922</v>
      </c>
      <c r="DS15" s="203">
        <f>(1+Assumptions!DS54)*'Balance Sheet'!DR15</f>
        <v>256616.26991557173</v>
      </c>
      <c r="DT15" s="203">
        <f>(1+Assumptions!DT54)*'Balance Sheet'!DS15</f>
        <v>258519.61120886961</v>
      </c>
      <c r="DU15" s="203">
        <f>(1+Assumptions!DU54)*'Balance Sheet'!DT15</f>
        <v>260437.0697211574</v>
      </c>
      <c r="DV15" s="203">
        <f>(1+Assumptions!DV54)*'Balance Sheet'!DU15</f>
        <v>262368.75016086164</v>
      </c>
      <c r="DW15" s="203">
        <f>(1+Assumptions!DW54)*'Balance Sheet'!DV15</f>
        <v>264314.75801303884</v>
      </c>
      <c r="DX15" s="203">
        <f>(1+Assumptions!DX54)*'Balance Sheet'!DW15</f>
        <v>266275.19954513566</v>
      </c>
    </row>
    <row r="16" spans="1:128" ht="10.199999999999999">
      <c r="A16" s="102" t="s">
        <v>205</v>
      </c>
      <c r="B16" s="118"/>
      <c r="C16" s="118"/>
      <c r="D16" s="118"/>
      <c r="E16" s="118"/>
      <c r="F16" s="118"/>
      <c r="G16" s="118"/>
      <c r="H16" s="93">
        <f>BD16</f>
        <v>0</v>
      </c>
      <c r="I16" s="93">
        <f>BH16</f>
        <v>0</v>
      </c>
      <c r="J16" s="93">
        <f>BL16</f>
        <v>0</v>
      </c>
      <c r="K16" s="93">
        <f>BP16</f>
        <v>0</v>
      </c>
      <c r="L16" s="93">
        <f>BT16</f>
        <v>0</v>
      </c>
      <c r="M16" s="93">
        <f>BX16</f>
        <v>0</v>
      </c>
      <c r="N16" s="93">
        <f>CB16</f>
        <v>203218.58597979997</v>
      </c>
      <c r="O16" s="93">
        <f>CF16</f>
        <v>321433.38794751</v>
      </c>
      <c r="P16" s="93">
        <f>CJ16</f>
        <v>203847.52371280003</v>
      </c>
      <c r="Q16" s="92">
        <f>CN16</f>
        <v>694904.80531800003</v>
      </c>
      <c r="R16" s="92">
        <f>CR16</f>
        <v>1743695.2847964</v>
      </c>
      <c r="S16" s="92">
        <f>CV16</f>
        <v>2824442</v>
      </c>
      <c r="T16" s="586">
        <f>CZ16</f>
        <v>2673424</v>
      </c>
      <c r="U16" s="91">
        <f>DD16</f>
        <v>2760551.1268692873</v>
      </c>
      <c r="V16" s="91">
        <f>DH16</f>
        <v>2842676.6016132673</v>
      </c>
      <c r="W16" s="91">
        <f>DL16</f>
        <v>2927956.8996616644</v>
      </c>
      <c r="X16" s="91">
        <f>DP16</f>
        <v>3015795.6066515134</v>
      </c>
      <c r="Y16" s="91">
        <f>DT16</f>
        <v>3106269.4748510579</v>
      </c>
      <c r="Z16" s="91">
        <f>DX16</f>
        <v>3199457.5590965888</v>
      </c>
      <c r="AA16" s="33"/>
      <c r="AB16" s="102" t="str">
        <f>A16</f>
        <v>Marketable securities, net</v>
      </c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204">
        <v>94744.481262870002</v>
      </c>
      <c r="BZ16" s="204">
        <v>119132.98312159997</v>
      </c>
      <c r="CA16" s="204">
        <v>258747.75269139998</v>
      </c>
      <c r="CB16" s="204">
        <v>203218.58597979997</v>
      </c>
      <c r="CC16" s="204">
        <v>310595.27847518999</v>
      </c>
      <c r="CD16" s="204">
        <v>169663.46022737998</v>
      </c>
      <c r="CE16" s="204">
        <v>206200.00474539</v>
      </c>
      <c r="CF16" s="204">
        <v>321433.38794751</v>
      </c>
      <c r="CG16" s="204">
        <v>278974.94455864001</v>
      </c>
      <c r="CH16" s="204">
        <v>270777.70345722005</v>
      </c>
      <c r="CI16" s="204">
        <v>328014.85252145003</v>
      </c>
      <c r="CJ16" s="204">
        <v>203847.52371280003</v>
      </c>
      <c r="CK16" s="204">
        <v>428264.66193860996</v>
      </c>
      <c r="CL16" s="204">
        <v>815552.02295076987</v>
      </c>
      <c r="CM16" s="204">
        <v>645194.43851999985</v>
      </c>
      <c r="CN16" s="204">
        <v>694904.80531800003</v>
      </c>
      <c r="CO16" s="204">
        <v>901033.60253655002</v>
      </c>
      <c r="CP16" s="204">
        <v>796853.52243120014</v>
      </c>
      <c r="CQ16" s="204">
        <v>791016.59783360118</v>
      </c>
      <c r="CR16" s="204">
        <v>1743695.2847964</v>
      </c>
      <c r="CS16" s="204">
        <v>1818592</v>
      </c>
      <c r="CT16" s="204">
        <v>2249019</v>
      </c>
      <c r="CU16" s="204">
        <v>3259704</v>
      </c>
      <c r="CV16" s="204">
        <v>2824442</v>
      </c>
      <c r="CW16" s="204">
        <v>2847236</v>
      </c>
      <c r="CX16" s="204">
        <v>2130997</v>
      </c>
      <c r="CY16" s="204">
        <v>2608267</v>
      </c>
      <c r="CZ16" s="204">
        <v>2673424</v>
      </c>
      <c r="DA16" s="203">
        <f>(1+Assumptions!DA55)*'Balance Sheet'!CZ16</f>
        <v>2695448.692962639</v>
      </c>
      <c r="DB16" s="203">
        <f>(1+Assumptions!DB55)*'Balance Sheet'!DA16</f>
        <v>2718073.5492344955</v>
      </c>
      <c r="DC16" s="203">
        <f>(1+Assumptions!DC55)*'Balance Sheet'!DB16</f>
        <v>2739561.9687064053</v>
      </c>
      <c r="DD16" s="203">
        <f>(1+Assumptions!DD55)*'Balance Sheet'!DC16</f>
        <v>2760551.1268692873</v>
      </c>
      <c r="DE16" s="203">
        <f>(1+Assumptions!DE55)*'Balance Sheet'!DD16</f>
        <v>2781701.0934991501</v>
      </c>
      <c r="DF16" s="203">
        <f>(1+Assumptions!DF55)*'Balance Sheet'!DE16</f>
        <v>2801652.74444196</v>
      </c>
      <c r="DG16" s="203">
        <f>(1+Assumptions!DG55)*'Balance Sheet'!DF16</f>
        <v>2821747.4978828323</v>
      </c>
      <c r="DH16" s="203">
        <f>(1+Assumptions!DH55)*'Balance Sheet'!DG16</f>
        <v>2842676.6016132673</v>
      </c>
      <c r="DI16" s="203">
        <f>(1+Assumptions!DI55)*'Balance Sheet'!DH16</f>
        <v>2863760.9380083145</v>
      </c>
      <c r="DJ16" s="203">
        <f>(1+Assumptions!DJ55)*'Balance Sheet'!DI16</f>
        <v>2885001.6584397899</v>
      </c>
      <c r="DK16" s="203">
        <f>(1+Assumptions!DK55)*'Balance Sheet'!DJ16</f>
        <v>2906399.9228193164</v>
      </c>
      <c r="DL16" s="203">
        <f>(1+Assumptions!DL55)*'Balance Sheet'!DK16</f>
        <v>2927956.8996616644</v>
      </c>
      <c r="DM16" s="203">
        <f>(1+Assumptions!DM55)*'Balance Sheet'!DL16</f>
        <v>2949673.766148563</v>
      </c>
      <c r="DN16" s="203">
        <f>(1+Assumptions!DN55)*'Balance Sheet'!DM16</f>
        <v>2971551.7081929827</v>
      </c>
      <c r="DO16" s="203">
        <f>(1+Assumptions!DO55)*'Balance Sheet'!DN16</f>
        <v>2993591.9205038948</v>
      </c>
      <c r="DP16" s="203">
        <f>(1+Assumptions!DP55)*'Balance Sheet'!DO16</f>
        <v>3015795.6066515134</v>
      </c>
      <c r="DQ16" s="203">
        <f>(1+Assumptions!DQ55)*'Balance Sheet'!DP16</f>
        <v>3038163.9791330192</v>
      </c>
      <c r="DR16" s="203">
        <f>(1+Assumptions!DR55)*'Balance Sheet'!DQ16</f>
        <v>3060698.2594387713</v>
      </c>
      <c r="DS16" s="203">
        <f>(1+Assumptions!DS55)*'Balance Sheet'!DR16</f>
        <v>3083399.6781190108</v>
      </c>
      <c r="DT16" s="203">
        <f>(1+Assumptions!DT55)*'Balance Sheet'!DS16</f>
        <v>3106269.4748510579</v>
      </c>
      <c r="DU16" s="203">
        <f>(1+Assumptions!DU55)*'Balance Sheet'!DT16</f>
        <v>3129308.8985070088</v>
      </c>
      <c r="DV16" s="203">
        <f>(1+Assumptions!DV55)*'Balance Sheet'!DU16</f>
        <v>3152519.2072219336</v>
      </c>
      <c r="DW16" s="203">
        <f>(1+Assumptions!DW55)*'Balance Sheet'!DV16</f>
        <v>3175901.6684625801</v>
      </c>
      <c r="DX16" s="203">
        <f>(1+Assumptions!DX55)*'Balance Sheet'!DW16</f>
        <v>3199457.5590965888</v>
      </c>
    </row>
    <row r="17" spans="1:128" ht="10.199999999999999">
      <c r="A17" s="102" t="s">
        <v>204</v>
      </c>
      <c r="B17" s="118"/>
      <c r="C17" s="118"/>
      <c r="D17" s="118"/>
      <c r="E17" s="118"/>
      <c r="F17" s="118"/>
      <c r="G17" s="118"/>
      <c r="H17" s="93">
        <f>BD17</f>
        <v>0</v>
      </c>
      <c r="I17" s="93">
        <f>BH17</f>
        <v>0</v>
      </c>
      <c r="J17" s="93">
        <f>BL17</f>
        <v>0</v>
      </c>
      <c r="K17" s="93">
        <f>BP17</f>
        <v>0</v>
      </c>
      <c r="L17" s="93">
        <f>BT17</f>
        <v>0</v>
      </c>
      <c r="M17" s="93">
        <f>BX17</f>
        <v>0</v>
      </c>
      <c r="N17" s="93">
        <f>CB17</f>
        <v>14707272.439259203</v>
      </c>
      <c r="O17" s="93">
        <f>CF17</f>
        <v>10656016.299119422</v>
      </c>
      <c r="P17" s="93">
        <f>CJ17</f>
        <v>16127296.501264883</v>
      </c>
      <c r="Q17" s="92">
        <f>CN17</f>
        <v>19637332.888053</v>
      </c>
      <c r="R17" s="92">
        <f>CR17</f>
        <v>19054274.107594464</v>
      </c>
      <c r="S17" s="92">
        <f>CV17</f>
        <v>18538671</v>
      </c>
      <c r="T17" s="586">
        <f>CZ17</f>
        <v>23081620</v>
      </c>
      <c r="U17" s="91">
        <f>DD17</f>
        <v>23833852.056751452</v>
      </c>
      <c r="V17" s="91">
        <f>DH17</f>
        <v>24542901.201354083</v>
      </c>
      <c r="W17" s="91">
        <f>DL17</f>
        <v>25279188.237394698</v>
      </c>
      <c r="X17" s="91">
        <f>DP17</f>
        <v>26037563.88451653</v>
      </c>
      <c r="Y17" s="91">
        <f>DT17</f>
        <v>26818690.801052015</v>
      </c>
      <c r="Z17" s="91">
        <f>DX17</f>
        <v>27623251.525083572</v>
      </c>
      <c r="AA17" s="33"/>
      <c r="AB17" s="102" t="str">
        <f>A17</f>
        <v>Investments securities available for sale</v>
      </c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204">
        <v>16647316.496278018</v>
      </c>
      <c r="BZ17" s="204">
        <v>14779918.566610398</v>
      </c>
      <c r="CA17" s="204">
        <v>13926277.062659638</v>
      </c>
      <c r="CB17" s="204">
        <v>14707272.439259203</v>
      </c>
      <c r="CC17" s="204">
        <v>17390647.916903161</v>
      </c>
      <c r="CD17" s="204">
        <v>16644363.532196397</v>
      </c>
      <c r="CE17" s="204">
        <v>21266185.664537758</v>
      </c>
      <c r="CF17" s="204">
        <v>10656016.299119422</v>
      </c>
      <c r="CG17" s="204">
        <v>16201504.376933441</v>
      </c>
      <c r="CH17" s="204">
        <v>17093344.984648153</v>
      </c>
      <c r="CI17" s="204">
        <v>17586759.712786131</v>
      </c>
      <c r="CJ17" s="204">
        <v>16127296.501264883</v>
      </c>
      <c r="CK17" s="204">
        <v>20348232.277053241</v>
      </c>
      <c r="CL17" s="204">
        <v>20920377.958346628</v>
      </c>
      <c r="CM17" s="204">
        <v>18505780.412842199</v>
      </c>
      <c r="CN17" s="204">
        <v>19637332.888053</v>
      </c>
      <c r="CO17" s="204">
        <v>21230754.347471248</v>
      </c>
      <c r="CP17" s="204">
        <v>21369245.378512733</v>
      </c>
      <c r="CQ17" s="204">
        <v>18854852.686392929</v>
      </c>
      <c r="CR17" s="204">
        <v>19054274.107594464</v>
      </c>
      <c r="CS17" s="204">
        <v>19857411</v>
      </c>
      <c r="CT17" s="204">
        <v>19543030</v>
      </c>
      <c r="CU17" s="204">
        <f>18023977+2122789</f>
        <v>20146766</v>
      </c>
      <c r="CV17" s="204">
        <f>15868893+2669778</f>
        <v>18538671</v>
      </c>
      <c r="CW17" s="204">
        <f>17905751+2640261+559867</f>
        <v>21105879</v>
      </c>
      <c r="CX17" s="204">
        <f>17772153+2970260+544257</f>
        <v>21286670</v>
      </c>
      <c r="CY17" s="204">
        <f>19152134+3161475+614441</f>
        <v>22928050</v>
      </c>
      <c r="CZ17" s="204">
        <f>18868752+3582129+630739</f>
        <v>23081620</v>
      </c>
      <c r="DA17" s="203">
        <f>(1+Assumptions!DA56)*'Balance Sheet'!CZ17</f>
        <v>23271775.244203806</v>
      </c>
      <c r="DB17" s="203">
        <f>(1+Assumptions!DB56)*'Balance Sheet'!DA17</f>
        <v>23467112.136152711</v>
      </c>
      <c r="DC17" s="203">
        <f>(1+Assumptions!DC56)*'Balance Sheet'!DB17</f>
        <v>23652637.340030294</v>
      </c>
      <c r="DD17" s="203">
        <f>(1+Assumptions!DD56)*'Balance Sheet'!DC17</f>
        <v>23833852.056751452</v>
      </c>
      <c r="DE17" s="203">
        <f>(1+Assumptions!DE56)*'Balance Sheet'!DD17</f>
        <v>24016455.150298595</v>
      </c>
      <c r="DF17" s="203">
        <f>(1+Assumptions!DF56)*'Balance Sheet'!DE17</f>
        <v>24188712.310193386</v>
      </c>
      <c r="DG17" s="203">
        <f>(1+Assumptions!DG56)*'Balance Sheet'!DF17</f>
        <v>24362204.978365704</v>
      </c>
      <c r="DH17" s="203">
        <f>(1+Assumptions!DH56)*'Balance Sheet'!DG17</f>
        <v>24542901.201354083</v>
      </c>
      <c r="DI17" s="203">
        <f>(1+Assumptions!DI56)*'Balance Sheet'!DH17</f>
        <v>24724937.661198333</v>
      </c>
      <c r="DJ17" s="203">
        <f>(1+Assumptions!DJ56)*'Balance Sheet'!DI17</f>
        <v>24908324.298531413</v>
      </c>
      <c r="DK17" s="203">
        <f>(1+Assumptions!DK56)*'Balance Sheet'!DJ17</f>
        <v>25093071.127716668</v>
      </c>
      <c r="DL17" s="203">
        <f>(1+Assumptions!DL56)*'Balance Sheet'!DK17</f>
        <v>25279188.237394698</v>
      </c>
      <c r="DM17" s="203">
        <f>(1+Assumptions!DM56)*'Balance Sheet'!DL17</f>
        <v>25466685.791034274</v>
      </c>
      <c r="DN17" s="203">
        <f>(1+Assumptions!DN56)*'Balance Sheet'!DM17</f>
        <v>25655574.027487345</v>
      </c>
      <c r="DO17" s="203">
        <f>(1+Assumptions!DO56)*'Balance Sheet'!DN17</f>
        <v>25845863.261548158</v>
      </c>
      <c r="DP17" s="203">
        <f>(1+Assumptions!DP56)*'Balance Sheet'!DO17</f>
        <v>26037563.88451653</v>
      </c>
      <c r="DQ17" s="203">
        <f>(1+Assumptions!DQ56)*'Balance Sheet'!DP17</f>
        <v>26230686.364765294</v>
      </c>
      <c r="DR17" s="203">
        <f>(1+Assumptions!DR56)*'Balance Sheet'!DQ17</f>
        <v>26425241.248311955</v>
      </c>
      <c r="DS17" s="203">
        <f>(1+Assumptions!DS56)*'Balance Sheet'!DR17</f>
        <v>26621239.159394592</v>
      </c>
      <c r="DT17" s="203">
        <f>(1+Assumptions!DT56)*'Balance Sheet'!DS17</f>
        <v>26818690.801052015</v>
      </c>
      <c r="DU17" s="203">
        <f>(1+Assumptions!DU56)*'Balance Sheet'!DT17</f>
        <v>27017606.955708243</v>
      </c>
      <c r="DV17" s="203">
        <f>(1+Assumptions!DV56)*'Balance Sheet'!DU17</f>
        <v>27217998.485761307</v>
      </c>
      <c r="DW17" s="203">
        <f>(1+Assumptions!DW56)*'Balance Sheet'!DV17</f>
        <v>27419876.334176425</v>
      </c>
      <c r="DX17" s="203">
        <f>(1+Assumptions!DX56)*'Balance Sheet'!DW17</f>
        <v>27623251.525083572</v>
      </c>
    </row>
    <row r="18" spans="1:128" ht="10.199999999999999">
      <c r="A18" s="102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122"/>
      <c r="R18" s="122"/>
      <c r="S18" s="122"/>
      <c r="T18" s="585"/>
      <c r="U18" s="121"/>
      <c r="V18" s="121"/>
      <c r="W18" s="121"/>
      <c r="X18" s="121"/>
      <c r="Y18" s="121"/>
      <c r="Z18" s="121"/>
      <c r="AA18" s="33"/>
      <c r="AB18" s="102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204"/>
      <c r="CW18" s="203"/>
      <c r="CX18" s="585"/>
      <c r="CY18" s="204"/>
      <c r="CZ18" s="585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</row>
    <row r="19" spans="1:128" ht="10.199999999999999">
      <c r="A19" s="113" t="s">
        <v>203</v>
      </c>
      <c r="B19" s="118"/>
      <c r="C19" s="118"/>
      <c r="D19" s="118"/>
      <c r="E19" s="118"/>
      <c r="F19" s="118"/>
      <c r="G19" s="118"/>
      <c r="H19" s="93">
        <f>BD19</f>
        <v>0</v>
      </c>
      <c r="I19" s="93">
        <f>BH19</f>
        <v>0</v>
      </c>
      <c r="J19" s="93">
        <f>BL19</f>
        <v>0</v>
      </c>
      <c r="K19" s="93">
        <f>BP19</f>
        <v>0</v>
      </c>
      <c r="L19" s="93">
        <f>BT19</f>
        <v>0</v>
      </c>
      <c r="M19" s="93">
        <f>BX19</f>
        <v>0</v>
      </c>
      <c r="N19" s="93">
        <f>CB19</f>
        <v>33509313.666521911</v>
      </c>
      <c r="O19" s="93">
        <f>CF19</f>
        <v>40430942.738348782</v>
      </c>
      <c r="P19" s="93">
        <f>CJ19</f>
        <v>47025697.518400647</v>
      </c>
      <c r="Q19" s="92">
        <f>CN19</f>
        <v>54765126.823165491</v>
      </c>
      <c r="R19" s="92">
        <f>CR19</f>
        <v>64294240.618564442</v>
      </c>
      <c r="S19" s="92">
        <f>CV19</f>
        <v>79889948</v>
      </c>
      <c r="T19" s="586">
        <f>CZ19</f>
        <v>90328499</v>
      </c>
      <c r="U19" s="91">
        <f>DD19</f>
        <v>101343920.43586904</v>
      </c>
      <c r="V19" s="91">
        <f>DH19</f>
        <v>114739522.01051259</v>
      </c>
      <c r="W19" s="91">
        <f>DL19</f>
        <v>129324678.95085254</v>
      </c>
      <c r="X19" s="91">
        <f>DP19</f>
        <v>146036200.93916294</v>
      </c>
      <c r="Y19" s="91">
        <f>DT19</f>
        <v>165725111.91594812</v>
      </c>
      <c r="Z19" s="91">
        <f>DX19</f>
        <v>188810574.33231142</v>
      </c>
      <c r="AA19" s="33"/>
      <c r="AB19" s="113" t="str">
        <f>A19</f>
        <v>Loans</v>
      </c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204">
        <v>31988558.749551374</v>
      </c>
      <c r="BZ19" s="204">
        <v>31917102.137638196</v>
      </c>
      <c r="CA19" s="204">
        <v>30788032.590499517</v>
      </c>
      <c r="CB19" s="204">
        <v>33509313.666521911</v>
      </c>
      <c r="CC19" s="204">
        <v>33872841.148732089</v>
      </c>
      <c r="CD19" s="204">
        <v>35883409.519024737</v>
      </c>
      <c r="CE19" s="204">
        <v>37371601.698934898</v>
      </c>
      <c r="CF19" s="204">
        <v>40430942.738348782</v>
      </c>
      <c r="CG19" s="204">
        <v>41154574.696795918</v>
      </c>
      <c r="CH19" s="204">
        <v>44529766.064014427</v>
      </c>
      <c r="CI19" s="204">
        <v>45480720.819672905</v>
      </c>
      <c r="CJ19" s="204">
        <v>47025697.518400647</v>
      </c>
      <c r="CK19" s="204">
        <v>48258094.014933385</v>
      </c>
      <c r="CL19" s="204">
        <v>51369260.814578041</v>
      </c>
      <c r="CM19" s="204">
        <v>52706842.399265945</v>
      </c>
      <c r="CN19" s="204">
        <v>54765126.823165491</v>
      </c>
      <c r="CO19" s="204">
        <v>56114025.908192262</v>
      </c>
      <c r="CP19" s="204">
        <v>59404148.551029876</v>
      </c>
      <c r="CQ19" s="204">
        <v>62358184.714045219</v>
      </c>
      <c r="CR19" s="204">
        <v>64294240.618564442</v>
      </c>
      <c r="CS19" s="204">
        <v>70447216</v>
      </c>
      <c r="CT19" s="204">
        <v>73464928</v>
      </c>
      <c r="CU19" s="204">
        <v>75680558</v>
      </c>
      <c r="CV19" s="204">
        <v>79889948</v>
      </c>
      <c r="CW19" s="204">
        <v>81620723</v>
      </c>
      <c r="CX19" s="204">
        <v>83503212</v>
      </c>
      <c r="CY19" s="204">
        <v>87842690</v>
      </c>
      <c r="CZ19" s="204">
        <v>90328499</v>
      </c>
      <c r="DA19" s="203">
        <f t="shared" ref="DA19:DP19" si="10">DA69</f>
        <v>96947891.25413096</v>
      </c>
      <c r="DB19" s="203">
        <f t="shared" si="10"/>
        <v>95563420.135869026</v>
      </c>
      <c r="DC19" s="203">
        <f t="shared" si="10"/>
        <v>102038397.27413091</v>
      </c>
      <c r="DD19" s="203">
        <f t="shared" si="10"/>
        <v>101343920.43586904</v>
      </c>
      <c r="DE19" s="203">
        <f t="shared" si="10"/>
        <v>107879397.7950142</v>
      </c>
      <c r="DF19" s="203">
        <f t="shared" si="10"/>
        <v>107955265.38990319</v>
      </c>
      <c r="DG19" s="203">
        <f t="shared" si="10"/>
        <v>114621014.52956018</v>
      </c>
      <c r="DH19" s="203">
        <f t="shared" si="10"/>
        <v>114739522.01051259</v>
      </c>
      <c r="DI19" s="203">
        <f t="shared" si="10"/>
        <v>121099420.80478632</v>
      </c>
      <c r="DJ19" s="203">
        <f t="shared" si="10"/>
        <v>121892817.36813849</v>
      </c>
      <c r="DK19" s="203">
        <f t="shared" si="10"/>
        <v>128402108.39884976</v>
      </c>
      <c r="DL19" s="203">
        <f t="shared" si="10"/>
        <v>129324678.95085254</v>
      </c>
      <c r="DM19" s="203">
        <f t="shared" si="10"/>
        <v>135720187.25985566</v>
      </c>
      <c r="DN19" s="203">
        <f t="shared" si="10"/>
        <v>137516648.06801209</v>
      </c>
      <c r="DO19" s="203">
        <f t="shared" si="10"/>
        <v>144013025.00951079</v>
      </c>
      <c r="DP19" s="203">
        <f t="shared" si="10"/>
        <v>146036200.93916294</v>
      </c>
      <c r="DQ19" s="203">
        <f t="shared" ref="DQ19:DT19" si="11">DQ69</f>
        <v>152368062.13863751</v>
      </c>
      <c r="DR19" s="203">
        <f t="shared" si="11"/>
        <v>155440667.22190151</v>
      </c>
      <c r="DS19" s="203">
        <f t="shared" si="11"/>
        <v>161712418.37376717</v>
      </c>
      <c r="DT19" s="203">
        <f t="shared" si="11"/>
        <v>165725111.91594812</v>
      </c>
      <c r="DU19" s="203">
        <f t="shared" ref="DU19:DX19" si="12">DU69</f>
        <v>171540271.02856478</v>
      </c>
      <c r="DV19" s="203">
        <f t="shared" si="12"/>
        <v>176780393.64576033</v>
      </c>
      <c r="DW19" s="203">
        <f t="shared" si="12"/>
        <v>182574366.65211055</v>
      </c>
      <c r="DX19" s="203">
        <f t="shared" si="12"/>
        <v>188810574.33231142</v>
      </c>
    </row>
    <row r="20" spans="1:128" ht="10.199999999999999">
      <c r="A20" s="114" t="s">
        <v>202</v>
      </c>
      <c r="B20" s="118"/>
      <c r="C20" s="118"/>
      <c r="D20" s="118"/>
      <c r="E20" s="118"/>
      <c r="F20" s="118"/>
      <c r="G20" s="118"/>
      <c r="H20" s="93">
        <f>BD20</f>
        <v>0</v>
      </c>
      <c r="I20" s="93">
        <f>BH20</f>
        <v>0</v>
      </c>
      <c r="J20" s="93">
        <f>BL20</f>
        <v>0</v>
      </c>
      <c r="K20" s="93">
        <f>BP20</f>
        <v>0</v>
      </c>
      <c r="L20" s="93">
        <f>BT20</f>
        <v>0</v>
      </c>
      <c r="M20" s="93">
        <f>BX20</f>
        <v>0</v>
      </c>
      <c r="N20" s="93">
        <f>CB20</f>
        <v>32976043.290704809</v>
      </c>
      <c r="O20" s="93">
        <f>CF20</f>
        <v>39841759.578479499</v>
      </c>
      <c r="P20" s="93">
        <f>CJ20</f>
        <v>46327040.078152888</v>
      </c>
      <c r="Q20" s="92">
        <f>CN20</f>
        <v>53815603.672012493</v>
      </c>
      <c r="R20" s="92">
        <f>CR20</f>
        <v>62857020.944389746</v>
      </c>
      <c r="S20" s="92">
        <f>CV20</f>
        <v>77880838</v>
      </c>
      <c r="T20" s="586">
        <f>CZ20</f>
        <v>88017645</v>
      </c>
      <c r="U20" s="91">
        <f>DD20</f>
        <v>98945255.287023455</v>
      </c>
      <c r="V20" s="91">
        <f>DH20</f>
        <v>112167965.13003215</v>
      </c>
      <c r="W20" s="91">
        <f>DL20</f>
        <v>126444255.11758614</v>
      </c>
      <c r="X20" s="91">
        <f>DP20</f>
        <v>142766975.19935977</v>
      </c>
      <c r="Y20" s="91">
        <f>DT20</f>
        <v>162005607.35210627</v>
      </c>
      <c r="Z20" s="91">
        <f>DX20</f>
        <v>184575859.19315279</v>
      </c>
      <c r="AA20" s="33"/>
      <c r="AB20" s="114" t="str">
        <f>A20</f>
        <v>Current Loans</v>
      </c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204">
        <v>31618712.187210273</v>
      </c>
      <c r="BZ20" s="204">
        <v>31475453.340346396</v>
      </c>
      <c r="CA20" s="204">
        <v>30309581.648880515</v>
      </c>
      <c r="CB20" s="204">
        <v>32976043.290704809</v>
      </c>
      <c r="CC20" s="204">
        <v>33259894.799082216</v>
      </c>
      <c r="CD20" s="204">
        <v>35273359.171519198</v>
      </c>
      <c r="CE20" s="204">
        <v>36777205.07837458</v>
      </c>
      <c r="CF20" s="204">
        <v>39841759.578479499</v>
      </c>
      <c r="CG20" s="204">
        <v>40511949.642456837</v>
      </c>
      <c r="CH20" s="204">
        <v>43863109.21474693</v>
      </c>
      <c r="CI20" s="204">
        <v>44780138.806408562</v>
      </c>
      <c r="CJ20" s="204">
        <v>46327040.078152888</v>
      </c>
      <c r="CK20" s="204">
        <v>47457753.607872926</v>
      </c>
      <c r="CL20" s="204">
        <v>50473991.774702668</v>
      </c>
      <c r="CM20" s="204">
        <v>51796273.305909127</v>
      </c>
      <c r="CN20" s="204">
        <v>53815603.672012493</v>
      </c>
      <c r="CO20" s="204">
        <v>55007355.784946956</v>
      </c>
      <c r="CP20" s="204">
        <v>58152473.513259053</v>
      </c>
      <c r="CQ20" s="204">
        <v>60998683.352839962</v>
      </c>
      <c r="CR20" s="204">
        <v>62857020.944389746</v>
      </c>
      <c r="CS20" s="204">
        <v>68623076</v>
      </c>
      <c r="CT20" s="204">
        <v>71524773</v>
      </c>
      <c r="CU20" s="204">
        <v>73718663</v>
      </c>
      <c r="CV20" s="204">
        <v>77880838</v>
      </c>
      <c r="CW20" s="204">
        <v>79512894</v>
      </c>
      <c r="CX20" s="204">
        <v>81227832</v>
      </c>
      <c r="CY20" s="204">
        <v>85586035</v>
      </c>
      <c r="CZ20" s="204">
        <v>88017645</v>
      </c>
      <c r="DA20" s="203">
        <f t="shared" ref="DA20:DP20" si="13">DA67</f>
        <v>94551663.868118837</v>
      </c>
      <c r="DB20" s="203">
        <f t="shared" si="13"/>
        <v>93272099.385793686</v>
      </c>
      <c r="DC20" s="203">
        <f t="shared" si="13"/>
        <v>99606870.489927784</v>
      </c>
      <c r="DD20" s="203">
        <f t="shared" si="13"/>
        <v>98945255.287023455</v>
      </c>
      <c r="DE20" s="203">
        <f t="shared" si="13"/>
        <v>105352561.87722182</v>
      </c>
      <c r="DF20" s="203">
        <f t="shared" si="13"/>
        <v>105467111.26449479</v>
      </c>
      <c r="DG20" s="203">
        <f t="shared" si="13"/>
        <v>112017504.34426981</v>
      </c>
      <c r="DH20" s="203">
        <f t="shared" si="13"/>
        <v>112167965.13003215</v>
      </c>
      <c r="DI20" s="203">
        <f t="shared" si="13"/>
        <v>118428033.25744708</v>
      </c>
      <c r="DJ20" s="203">
        <f t="shared" si="13"/>
        <v>119190429.40046319</v>
      </c>
      <c r="DK20" s="203">
        <f t="shared" si="13"/>
        <v>125549913.53053945</v>
      </c>
      <c r="DL20" s="203">
        <f t="shared" si="13"/>
        <v>126444255.11758614</v>
      </c>
      <c r="DM20" s="203">
        <f t="shared" si="13"/>
        <v>132696266.41537049</v>
      </c>
      <c r="DN20" s="203">
        <f t="shared" si="13"/>
        <v>134449355.34100688</v>
      </c>
      <c r="DO20" s="203">
        <f t="shared" si="13"/>
        <v>140795668.94894403</v>
      </c>
      <c r="DP20" s="203">
        <f t="shared" si="13"/>
        <v>142766975.19935977</v>
      </c>
      <c r="DQ20" s="203">
        <f t="shared" ref="DQ20:DT20" si="14">DQ67</f>
        <v>148957956.99297902</v>
      </c>
      <c r="DR20" s="203">
        <f t="shared" si="14"/>
        <v>151959851.93370417</v>
      </c>
      <c r="DS20" s="203">
        <f t="shared" si="14"/>
        <v>158085007.59634042</v>
      </c>
      <c r="DT20" s="203">
        <f t="shared" si="14"/>
        <v>162005607.35210627</v>
      </c>
      <c r="DU20" s="203">
        <f t="shared" ref="DU20:DX20" si="15">DU67</f>
        <v>167694257.22146004</v>
      </c>
      <c r="DV20" s="203">
        <f t="shared" si="15"/>
        <v>172817735.45195884</v>
      </c>
      <c r="DW20" s="203">
        <f t="shared" si="15"/>
        <v>178478626.08356178</v>
      </c>
      <c r="DX20" s="203">
        <f t="shared" si="15"/>
        <v>184575859.19315279</v>
      </c>
    </row>
    <row r="21" spans="1:128" ht="10.199999999999999">
      <c r="A21" s="114" t="s">
        <v>201</v>
      </c>
      <c r="B21" s="118"/>
      <c r="C21" s="118"/>
      <c r="D21" s="118"/>
      <c r="E21" s="118"/>
      <c r="F21" s="118"/>
      <c r="G21" s="118"/>
      <c r="H21" s="93">
        <f>BD21</f>
        <v>0</v>
      </c>
      <c r="I21" s="93">
        <f>BH21</f>
        <v>0</v>
      </c>
      <c r="J21" s="93">
        <f>BL21</f>
        <v>0</v>
      </c>
      <c r="K21" s="93">
        <f>BP21</f>
        <v>0</v>
      </c>
      <c r="L21" s="93">
        <f>BT21</f>
        <v>0</v>
      </c>
      <c r="M21" s="93">
        <f>BX21</f>
        <v>0</v>
      </c>
      <c r="N21" s="93">
        <f>CB21</f>
        <v>533270.37581710005</v>
      </c>
      <c r="O21" s="93">
        <f>CF21</f>
        <v>589183.15986928006</v>
      </c>
      <c r="P21" s="93">
        <f>CJ21</f>
        <v>698657.44024776004</v>
      </c>
      <c r="Q21" s="92">
        <f>CN21</f>
        <v>949523.15115299996</v>
      </c>
      <c r="R21" s="92">
        <f>CR21</f>
        <v>1437219.6741746999</v>
      </c>
      <c r="S21" s="92">
        <f>CV21</f>
        <v>2009109</v>
      </c>
      <c r="T21" s="586">
        <f>CZ21</f>
        <v>2310854</v>
      </c>
      <c r="U21" s="91">
        <f>DD21</f>
        <v>2398665.1488455865</v>
      </c>
      <c r="V21" s="91">
        <f>DH21</f>
        <v>2571556.880480431</v>
      </c>
      <c r="W21" s="91">
        <f>DL21</f>
        <v>2880423.8332664128</v>
      </c>
      <c r="X21" s="91">
        <f>DP21</f>
        <v>3269225.7398031731</v>
      </c>
      <c r="Y21" s="91">
        <f>DT21</f>
        <v>3719504.56384185</v>
      </c>
      <c r="Z21" s="91">
        <f>DX21</f>
        <v>4234715.1391586317</v>
      </c>
      <c r="AA21" s="33"/>
      <c r="AB21" s="114" t="str">
        <f>A21</f>
        <v>Past Due Loans</v>
      </c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204">
        <v>369846.56234110001</v>
      </c>
      <c r="BZ21" s="204">
        <v>441648.79729180003</v>
      </c>
      <c r="CA21" s="204">
        <v>478450.94161899999</v>
      </c>
      <c r="CB21" s="204">
        <v>533270.37581710005</v>
      </c>
      <c r="CC21" s="204">
        <v>612946.34964986995</v>
      </c>
      <c r="CD21" s="204">
        <v>610050.34750554012</v>
      </c>
      <c r="CE21" s="204">
        <v>594396.62056031998</v>
      </c>
      <c r="CF21" s="204">
        <v>589183.15986928006</v>
      </c>
      <c r="CG21" s="204">
        <v>642625.05433907988</v>
      </c>
      <c r="CH21" s="204">
        <v>666656.8492675001</v>
      </c>
      <c r="CI21" s="204">
        <v>700582.01326434</v>
      </c>
      <c r="CJ21" s="204">
        <v>698657.44024776004</v>
      </c>
      <c r="CK21" s="204">
        <v>800340.40706045995</v>
      </c>
      <c r="CL21" s="204">
        <v>895269.03987536975</v>
      </c>
      <c r="CM21" s="204">
        <v>910569.09335682006</v>
      </c>
      <c r="CN21" s="204">
        <v>949523.15115299996</v>
      </c>
      <c r="CO21" s="204">
        <v>1106670.12324531</v>
      </c>
      <c r="CP21" s="204">
        <v>1251675.0377708201</v>
      </c>
      <c r="CQ21" s="204">
        <v>1359501.36120526</v>
      </c>
      <c r="CR21" s="204">
        <v>1437219.6741746999</v>
      </c>
      <c r="CS21" s="204">
        <v>1824140</v>
      </c>
      <c r="CT21" s="204">
        <v>1940155</v>
      </c>
      <c r="CU21" s="204">
        <v>1961895</v>
      </c>
      <c r="CV21" s="204">
        <v>2009109</v>
      </c>
      <c r="CW21" s="204">
        <v>2107829</v>
      </c>
      <c r="CX21" s="204">
        <v>2275380</v>
      </c>
      <c r="CY21" s="204">
        <v>2256655</v>
      </c>
      <c r="CZ21" s="204">
        <v>2310854</v>
      </c>
      <c r="DA21" s="203">
        <f t="shared" ref="DA21:DP21" si="16">DA68</f>
        <v>2396227.386012116</v>
      </c>
      <c r="DB21" s="203">
        <f t="shared" si="16"/>
        <v>2291320.750075344</v>
      </c>
      <c r="DC21" s="203">
        <f t="shared" si="16"/>
        <v>2431526.7842031331</v>
      </c>
      <c r="DD21" s="203">
        <f t="shared" si="16"/>
        <v>2398665.1488455865</v>
      </c>
      <c r="DE21" s="203">
        <f t="shared" si="16"/>
        <v>2526835.9177923752</v>
      </c>
      <c r="DF21" s="203">
        <f t="shared" si="16"/>
        <v>2488154.1254083952</v>
      </c>
      <c r="DG21" s="203">
        <f t="shared" si="16"/>
        <v>2603510.1852903669</v>
      </c>
      <c r="DH21" s="203">
        <f t="shared" si="16"/>
        <v>2571556.880480431</v>
      </c>
      <c r="DI21" s="203">
        <f t="shared" si="16"/>
        <v>2671387.5473392517</v>
      </c>
      <c r="DJ21" s="203">
        <f t="shared" si="16"/>
        <v>2702387.9676752998</v>
      </c>
      <c r="DK21" s="203">
        <f t="shared" si="16"/>
        <v>2852194.868310303</v>
      </c>
      <c r="DL21" s="203">
        <f t="shared" si="16"/>
        <v>2880423.8332664128</v>
      </c>
      <c r="DM21" s="203">
        <f t="shared" si="16"/>
        <v>3023920.8444851651</v>
      </c>
      <c r="DN21" s="203">
        <f t="shared" si="16"/>
        <v>3067292.7270052019</v>
      </c>
      <c r="DO21" s="203">
        <f t="shared" si="16"/>
        <v>3217356.0605667392</v>
      </c>
      <c r="DP21" s="203">
        <f t="shared" si="16"/>
        <v>3269225.7398031731</v>
      </c>
      <c r="DQ21" s="203">
        <f t="shared" ref="DQ21:DT21" si="17">DQ68</f>
        <v>3410105.1456584833</v>
      </c>
      <c r="DR21" s="203">
        <f t="shared" si="17"/>
        <v>3480815.288197346</v>
      </c>
      <c r="DS21" s="203">
        <f t="shared" si="17"/>
        <v>3627410.7774267364</v>
      </c>
      <c r="DT21" s="203">
        <f t="shared" si="17"/>
        <v>3719504.56384185</v>
      </c>
      <c r="DU21" s="203">
        <f t="shared" ref="DU21:DX21" si="18">DU68</f>
        <v>3846013.8071047314</v>
      </c>
      <c r="DV21" s="203">
        <f t="shared" si="18"/>
        <v>3962658.1938014831</v>
      </c>
      <c r="DW21" s="203">
        <f t="shared" si="18"/>
        <v>4095740.5685487664</v>
      </c>
      <c r="DX21" s="203">
        <f t="shared" si="18"/>
        <v>4234715.1391586317</v>
      </c>
    </row>
    <row r="22" spans="1:128" ht="10.199999999999999">
      <c r="A22" s="113" t="s">
        <v>200</v>
      </c>
      <c r="B22" s="118"/>
      <c r="C22" s="118"/>
      <c r="D22" s="118"/>
      <c r="E22" s="118"/>
      <c r="F22" s="118"/>
      <c r="G22" s="118"/>
      <c r="H22" s="93">
        <f>BD22</f>
        <v>0</v>
      </c>
      <c r="I22" s="93">
        <f>BH22</f>
        <v>0</v>
      </c>
      <c r="J22" s="93">
        <f>BL22</f>
        <v>0</v>
      </c>
      <c r="K22" s="93">
        <f>BP22</f>
        <v>0</v>
      </c>
      <c r="L22" s="93">
        <f>BT22</f>
        <v>0</v>
      </c>
      <c r="M22" s="93">
        <f>BX22</f>
        <v>0</v>
      </c>
      <c r="N22" s="93">
        <f>CB22</f>
        <v>-1024085.4427472</v>
      </c>
      <c r="O22" s="93">
        <f>CF22</f>
        <v>-1167710.5730707999</v>
      </c>
      <c r="P22" s="93">
        <f>CJ22</f>
        <v>-1401132.9232087201</v>
      </c>
      <c r="Q22" s="92">
        <f>CN22</f>
        <v>-1782505.1943420002</v>
      </c>
      <c r="R22" s="92">
        <f>CR22</f>
        <v>-2263648.5837341999</v>
      </c>
      <c r="S22" s="92">
        <f>CV22</f>
        <v>-3308220</v>
      </c>
      <c r="T22" s="586">
        <f>CZ22</f>
        <v>-3840337</v>
      </c>
      <c r="U22" s="91">
        <f>DD22</f>
        <v>-3911186.1487936247</v>
      </c>
      <c r="V22" s="91">
        <f>DH22</f>
        <v>-3945301.3278078297</v>
      </c>
      <c r="W22" s="91">
        <f>DL22</f>
        <v>-4434381.3089985512</v>
      </c>
      <c r="X22" s="91">
        <f>DP22</f>
        <v>-5129596.2744495664</v>
      </c>
      <c r="Y22" s="91">
        <f>DT22</f>
        <v>-5851600.6066378569</v>
      </c>
      <c r="Z22" s="91">
        <f>DX22</f>
        <v>-6590766.1289841542</v>
      </c>
      <c r="AA22" s="33"/>
      <c r="AB22" s="113" t="str">
        <f>A22</f>
        <v>Less - Reserve for possible loan losses</v>
      </c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204">
        <v>-759484.33853481011</v>
      </c>
      <c r="BZ22" s="204">
        <v>-851983.7666928001</v>
      </c>
      <c r="CA22" s="204">
        <v>-917381.94118871994</v>
      </c>
      <c r="CB22" s="204">
        <v>-1024085.4427472</v>
      </c>
      <c r="CC22" s="204">
        <v>-1083006.0702557401</v>
      </c>
      <c r="CD22" s="204">
        <v>-1093881.5999254799</v>
      </c>
      <c r="CE22" s="204">
        <v>-1147508.27238363</v>
      </c>
      <c r="CF22" s="204">
        <v>-1167710.5730707999</v>
      </c>
      <c r="CG22" s="204">
        <v>-1217521.1114931598</v>
      </c>
      <c r="CH22" s="204">
        <v>-1293239.5348191601</v>
      </c>
      <c r="CI22" s="204">
        <v>-1339809.7944088001</v>
      </c>
      <c r="CJ22" s="204">
        <v>-1401132.9232087201</v>
      </c>
      <c r="CK22" s="204">
        <v>-1504343.4343602001</v>
      </c>
      <c r="CL22" s="204">
        <v>-1672362.8494049597</v>
      </c>
      <c r="CM22" s="204">
        <v>-1742172.2409302404</v>
      </c>
      <c r="CN22" s="204">
        <v>-1782505.1943420002</v>
      </c>
      <c r="CO22" s="204">
        <v>-1912183.2125431797</v>
      </c>
      <c r="CP22" s="204">
        <v>-2095545.8473479401</v>
      </c>
      <c r="CQ22" s="204">
        <v>-2210745.4455673601</v>
      </c>
      <c r="CR22" s="204">
        <v>-2263648.5837341999</v>
      </c>
      <c r="CS22" s="204">
        <v>-2946798</v>
      </c>
      <c r="CT22" s="204">
        <v>-3072244</v>
      </c>
      <c r="CU22" s="204">
        <v>-3168154</v>
      </c>
      <c r="CV22" s="204">
        <v>-3308220</v>
      </c>
      <c r="CW22" s="204">
        <v>-3466341</v>
      </c>
      <c r="CX22" s="586">
        <v>-3622632</v>
      </c>
      <c r="CY22" s="586">
        <v>-3674654</v>
      </c>
      <c r="CZ22" s="586">
        <v>-3840337</v>
      </c>
      <c r="DA22" s="91">
        <f t="shared" ref="DA22:DP22" si="19">DA80</f>
        <v>-3876658.1487026955</v>
      </c>
      <c r="DB22" s="91">
        <f t="shared" si="19"/>
        <v>-3906151.9895430068</v>
      </c>
      <c r="DC22" s="91">
        <f t="shared" si="19"/>
        <v>-3914155.0236961599</v>
      </c>
      <c r="DD22" s="91">
        <f t="shared" si="19"/>
        <v>-3911186.1487936247</v>
      </c>
      <c r="DE22" s="91">
        <f t="shared" si="19"/>
        <v>-3895971.2409434412</v>
      </c>
      <c r="DF22" s="91">
        <f t="shared" si="19"/>
        <v>-3880156.5298614008</v>
      </c>
      <c r="DG22" s="91">
        <f t="shared" si="19"/>
        <v>-3886503.3029057304</v>
      </c>
      <c r="DH22" s="91">
        <f t="shared" si="19"/>
        <v>-3945301.3278078297</v>
      </c>
      <c r="DI22" s="91">
        <f t="shared" si="19"/>
        <v>-4031921.3617320256</v>
      </c>
      <c r="DJ22" s="91">
        <f t="shared" si="19"/>
        <v>-4148133.3555053095</v>
      </c>
      <c r="DK22" s="91">
        <f t="shared" si="19"/>
        <v>-4281045.163812845</v>
      </c>
      <c r="DL22" s="91">
        <f t="shared" si="19"/>
        <v>-4434381.3089985512</v>
      </c>
      <c r="DM22" s="91">
        <f t="shared" si="19"/>
        <v>-4584025.0081117516</v>
      </c>
      <c r="DN22" s="91">
        <f t="shared" si="19"/>
        <v>-4753722.1727694888</v>
      </c>
      <c r="DO22" s="91">
        <f t="shared" si="19"/>
        <v>-4937318.9812430842</v>
      </c>
      <c r="DP22" s="91">
        <f t="shared" si="19"/>
        <v>-5129596.2744495664</v>
      </c>
      <c r="DQ22" s="91">
        <f t="shared" ref="DQ22:DT22" si="20">DQ80</f>
        <v>-5309406.5087295324</v>
      </c>
      <c r="DR22" s="91">
        <f t="shared" si="20"/>
        <v>-5488411.9777347483</v>
      </c>
      <c r="DS22" s="91">
        <f t="shared" si="20"/>
        <v>-5664632.6787155271</v>
      </c>
      <c r="DT22" s="91">
        <f t="shared" si="20"/>
        <v>-5851600.6066378569</v>
      </c>
      <c r="DU22" s="91">
        <f t="shared" ref="DU22:DX22" si="21">DU80</f>
        <v>-6020963.0189430853</v>
      </c>
      <c r="DV22" s="91">
        <f t="shared" si="21"/>
        <v>-6197485.1555056013</v>
      </c>
      <c r="DW22" s="91">
        <f t="shared" si="21"/>
        <v>-6388741.412961673</v>
      </c>
      <c r="DX22" s="91">
        <f t="shared" si="21"/>
        <v>-6590766.1289841542</v>
      </c>
    </row>
    <row r="23" spans="1:128" s="106" customFormat="1" ht="10.199999999999999">
      <c r="A23" s="111" t="s">
        <v>199</v>
      </c>
      <c r="B23" s="107"/>
      <c r="C23" s="107"/>
      <c r="D23" s="107"/>
      <c r="E23" s="107"/>
      <c r="F23" s="107"/>
      <c r="G23" s="107"/>
      <c r="H23" s="183">
        <f t="shared" ref="H23:X23" si="22">H19+H22</f>
        <v>0</v>
      </c>
      <c r="I23" s="183">
        <f t="shared" si="22"/>
        <v>0</v>
      </c>
      <c r="J23" s="183">
        <f t="shared" si="22"/>
        <v>0</v>
      </c>
      <c r="K23" s="183">
        <f t="shared" si="22"/>
        <v>0</v>
      </c>
      <c r="L23" s="183">
        <f t="shared" si="22"/>
        <v>0</v>
      </c>
      <c r="M23" s="183">
        <f t="shared" si="22"/>
        <v>0</v>
      </c>
      <c r="N23" s="183">
        <f t="shared" si="22"/>
        <v>32485228.223774709</v>
      </c>
      <c r="O23" s="183">
        <f t="shared" si="22"/>
        <v>39263232.16527798</v>
      </c>
      <c r="P23" s="183">
        <f t="shared" si="22"/>
        <v>45624564.595191926</v>
      </c>
      <c r="Q23" s="202">
        <f t="shared" si="22"/>
        <v>52982621.628823489</v>
      </c>
      <c r="R23" s="202">
        <f t="shared" si="22"/>
        <v>62030592.034830242</v>
      </c>
      <c r="S23" s="202">
        <f t="shared" si="22"/>
        <v>76581728</v>
      </c>
      <c r="T23" s="587">
        <f t="shared" si="22"/>
        <v>86488162</v>
      </c>
      <c r="U23" s="201">
        <f t="shared" si="22"/>
        <v>97432734.287075415</v>
      </c>
      <c r="V23" s="201">
        <f t="shared" si="22"/>
        <v>110794220.68270476</v>
      </c>
      <c r="W23" s="201">
        <f t="shared" si="22"/>
        <v>124890297.64185399</v>
      </c>
      <c r="X23" s="201">
        <f t="shared" si="22"/>
        <v>140906604.66471338</v>
      </c>
      <c r="Y23" s="201">
        <f t="shared" ref="Y23:Z23" si="23">Y19+Y22</f>
        <v>159873511.30931026</v>
      </c>
      <c r="Z23" s="201">
        <f t="shared" si="23"/>
        <v>182219808.20332727</v>
      </c>
      <c r="AB23" s="111" t="str">
        <f>A23</f>
        <v>Loans, net</v>
      </c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83">
        <f t="shared" ref="BY23:CQ23" si="24">BY19+BY22</f>
        <v>31229074.411016565</v>
      </c>
      <c r="BZ23" s="183">
        <f t="shared" si="24"/>
        <v>31065118.370945398</v>
      </c>
      <c r="CA23" s="183">
        <f t="shared" si="24"/>
        <v>29870650.649310797</v>
      </c>
      <c r="CB23" s="183">
        <f t="shared" si="24"/>
        <v>32485228.223774709</v>
      </c>
      <c r="CC23" s="183">
        <f t="shared" si="24"/>
        <v>32789835.078476347</v>
      </c>
      <c r="CD23" s="183">
        <f t="shared" si="24"/>
        <v>34789527.919099256</v>
      </c>
      <c r="CE23" s="183">
        <f t="shared" si="24"/>
        <v>36224093.426551268</v>
      </c>
      <c r="CF23" s="183">
        <f t="shared" si="24"/>
        <v>39263232.16527798</v>
      </c>
      <c r="CG23" s="183">
        <f t="shared" si="24"/>
        <v>39937053.585302755</v>
      </c>
      <c r="CH23" s="183">
        <f t="shared" si="24"/>
        <v>43236526.529195264</v>
      </c>
      <c r="CI23" s="183">
        <f t="shared" si="24"/>
        <v>44140911.025264107</v>
      </c>
      <c r="CJ23" s="183">
        <f t="shared" si="24"/>
        <v>45624564.595191926</v>
      </c>
      <c r="CK23" s="183">
        <f t="shared" si="24"/>
        <v>46753750.580573186</v>
      </c>
      <c r="CL23" s="183">
        <f t="shared" si="24"/>
        <v>49696897.965173081</v>
      </c>
      <c r="CM23" s="183">
        <f t="shared" si="24"/>
        <v>50964670.158335708</v>
      </c>
      <c r="CN23" s="183">
        <f t="shared" si="24"/>
        <v>52982621.628823489</v>
      </c>
      <c r="CO23" s="183">
        <f t="shared" si="24"/>
        <v>54201842.69564908</v>
      </c>
      <c r="CP23" s="183">
        <f t="shared" si="24"/>
        <v>57308602.703681938</v>
      </c>
      <c r="CQ23" s="183">
        <f t="shared" si="24"/>
        <v>60147439.268477857</v>
      </c>
      <c r="CR23" s="183">
        <f t="shared" ref="CR23" si="25">CR19+CR22</f>
        <v>62030592.034830242</v>
      </c>
      <c r="CS23" s="183">
        <f t="shared" ref="CS23:CX23" si="26">CS19+CS22</f>
        <v>67500418</v>
      </c>
      <c r="CT23" s="183">
        <f t="shared" si="26"/>
        <v>70392684</v>
      </c>
      <c r="CU23" s="183">
        <f t="shared" si="26"/>
        <v>72512404</v>
      </c>
      <c r="CV23" s="183">
        <f t="shared" si="26"/>
        <v>76581728</v>
      </c>
      <c r="CW23" s="183">
        <f t="shared" si="26"/>
        <v>78154382</v>
      </c>
      <c r="CX23" s="183">
        <f t="shared" si="26"/>
        <v>79880580</v>
      </c>
      <c r="CY23" s="183">
        <f t="shared" ref="CY23:CZ23" si="27">CY19+CY22</f>
        <v>84168036</v>
      </c>
      <c r="CZ23" s="587">
        <f t="shared" si="27"/>
        <v>86488162</v>
      </c>
      <c r="DA23" s="200">
        <f t="shared" ref="DA23:DP23" si="28">DA19+DA22</f>
        <v>93071233.105428264</v>
      </c>
      <c r="DB23" s="200">
        <f t="shared" si="28"/>
        <v>91657268.14632602</v>
      </c>
      <c r="DC23" s="200">
        <f t="shared" si="28"/>
        <v>98124242.250434756</v>
      </c>
      <c r="DD23" s="200">
        <f t="shared" si="28"/>
        <v>97432734.287075415</v>
      </c>
      <c r="DE23" s="200">
        <f t="shared" si="28"/>
        <v>103983426.55407076</v>
      </c>
      <c r="DF23" s="200">
        <f t="shared" si="28"/>
        <v>104075108.86004178</v>
      </c>
      <c r="DG23" s="200">
        <f t="shared" si="28"/>
        <v>110734511.22665446</v>
      </c>
      <c r="DH23" s="200">
        <f t="shared" si="28"/>
        <v>110794220.68270476</v>
      </c>
      <c r="DI23" s="200">
        <f t="shared" si="28"/>
        <v>117067499.4430543</v>
      </c>
      <c r="DJ23" s="200">
        <f t="shared" si="28"/>
        <v>117744684.01263319</v>
      </c>
      <c r="DK23" s="200">
        <f t="shared" si="28"/>
        <v>124121063.23503691</v>
      </c>
      <c r="DL23" s="200">
        <f t="shared" si="28"/>
        <v>124890297.64185399</v>
      </c>
      <c r="DM23" s="200">
        <f t="shared" si="28"/>
        <v>131136162.25174391</v>
      </c>
      <c r="DN23" s="200">
        <f t="shared" si="28"/>
        <v>132762925.8952426</v>
      </c>
      <c r="DO23" s="200">
        <f t="shared" si="28"/>
        <v>139075706.02826771</v>
      </c>
      <c r="DP23" s="200">
        <f t="shared" si="28"/>
        <v>140906604.66471338</v>
      </c>
      <c r="DQ23" s="200">
        <f t="shared" ref="DQ23:DT23" si="29">DQ19+DQ22</f>
        <v>147058655.62990797</v>
      </c>
      <c r="DR23" s="200">
        <f t="shared" si="29"/>
        <v>149952255.24416676</v>
      </c>
      <c r="DS23" s="200">
        <f t="shared" si="29"/>
        <v>156047785.69505164</v>
      </c>
      <c r="DT23" s="200">
        <f t="shared" si="29"/>
        <v>159873511.30931026</v>
      </c>
      <c r="DU23" s="200">
        <f t="shared" ref="DU23:DX23" si="30">DU19+DU22</f>
        <v>165519308.00962171</v>
      </c>
      <c r="DV23" s="200">
        <f t="shared" si="30"/>
        <v>170582908.49025473</v>
      </c>
      <c r="DW23" s="200">
        <f t="shared" si="30"/>
        <v>176185625.23914889</v>
      </c>
      <c r="DX23" s="200">
        <f t="shared" si="30"/>
        <v>182219808.20332727</v>
      </c>
    </row>
    <row r="24" spans="1:128" ht="10.199999999999999">
      <c r="A24" s="102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122"/>
      <c r="R24" s="122"/>
      <c r="S24" s="122"/>
      <c r="T24" s="585"/>
      <c r="U24" s="121"/>
      <c r="V24" s="121"/>
      <c r="W24" s="121"/>
      <c r="X24" s="121"/>
      <c r="Y24" s="121"/>
      <c r="Z24" s="121"/>
      <c r="AA24" s="33"/>
      <c r="AB24" s="102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585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</row>
    <row r="25" spans="1:128" ht="10.199999999999999">
      <c r="A25" s="102" t="s">
        <v>24</v>
      </c>
      <c r="B25" s="118"/>
      <c r="C25" s="118"/>
      <c r="D25" s="118"/>
      <c r="E25" s="118"/>
      <c r="F25" s="118"/>
      <c r="G25" s="118"/>
      <c r="H25" s="93">
        <f>BD25</f>
        <v>0</v>
      </c>
      <c r="I25" s="93">
        <f>BH25</f>
        <v>0</v>
      </c>
      <c r="J25" s="93">
        <f>BL25</f>
        <v>0</v>
      </c>
      <c r="K25" s="93">
        <f>BP25</f>
        <v>0</v>
      </c>
      <c r="L25" s="93">
        <f>BT25</f>
        <v>0</v>
      </c>
      <c r="M25" s="93">
        <f>BX25</f>
        <v>0</v>
      </c>
      <c r="N25" s="93">
        <f>CB25</f>
        <v>396213.04998130002</v>
      </c>
      <c r="O25" s="93">
        <f>CF25</f>
        <v>450139.50307890004</v>
      </c>
      <c r="P25" s="93">
        <f>CJ25</f>
        <v>407311.17161527998</v>
      </c>
      <c r="Q25" s="92">
        <f>CN25</f>
        <v>427023.40096200007</v>
      </c>
      <c r="R25" s="92">
        <f>CR25</f>
        <v>578721.37566619995</v>
      </c>
      <c r="S25" s="92">
        <f>CV25</f>
        <v>468137</v>
      </c>
      <c r="T25" s="586">
        <f>CZ25</f>
        <v>457189</v>
      </c>
      <c r="U25" s="91">
        <f>DD25</f>
        <v>119683.28514374999</v>
      </c>
      <c r="V25" s="91">
        <f>DH25</f>
        <v>137635.7779153125</v>
      </c>
      <c r="W25" s="91">
        <f>DL25</f>
        <v>158281.14460260936</v>
      </c>
      <c r="X25" s="91">
        <f>DP25</f>
        <v>182023.31629300071</v>
      </c>
      <c r="Y25" s="91">
        <f>DT25</f>
        <v>209326.81373695086</v>
      </c>
      <c r="Z25" s="91">
        <f>DX25</f>
        <v>240725.83579749343</v>
      </c>
      <c r="AA25" s="33"/>
      <c r="AB25" s="102" t="str">
        <f>A25</f>
        <v>Reinsurance assets</v>
      </c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204">
        <v>583455.24812677002</v>
      </c>
      <c r="BZ25" s="204">
        <v>562819.92293099989</v>
      </c>
      <c r="CA25" s="204">
        <v>391323.32530031994</v>
      </c>
      <c r="CB25" s="204">
        <v>396213.04998130002</v>
      </c>
      <c r="CC25" s="204">
        <v>419668.70632683003</v>
      </c>
      <c r="CD25" s="204">
        <v>424929.92637420009</v>
      </c>
      <c r="CE25" s="204">
        <v>406747.91490803997</v>
      </c>
      <c r="CF25" s="204">
        <v>450139.50307890004</v>
      </c>
      <c r="CG25" s="204">
        <v>391344.36199964001</v>
      </c>
      <c r="CH25" s="204">
        <v>347311.40781793004</v>
      </c>
      <c r="CI25" s="204">
        <v>366837.05503364</v>
      </c>
      <c r="CJ25" s="204">
        <v>407311.17161527998</v>
      </c>
      <c r="CK25" s="204">
        <v>446584.80679049989</v>
      </c>
      <c r="CL25" s="204">
        <v>437602.42023703997</v>
      </c>
      <c r="CM25" s="204">
        <v>378876.28852140001</v>
      </c>
      <c r="CN25" s="204">
        <v>427023.40096200007</v>
      </c>
      <c r="CO25" s="204">
        <v>508660.35075021</v>
      </c>
      <c r="CP25" s="204">
        <v>520865.13906985999</v>
      </c>
      <c r="CQ25" s="204">
        <v>538696.44718993991</v>
      </c>
      <c r="CR25" s="204">
        <v>578721.37566619995</v>
      </c>
      <c r="CS25" s="204">
        <v>570200</v>
      </c>
      <c r="CT25" s="204">
        <v>491821</v>
      </c>
      <c r="CU25" s="204">
        <v>477182</v>
      </c>
      <c r="CV25" s="204">
        <v>468137</v>
      </c>
      <c r="CW25" s="204">
        <v>455668</v>
      </c>
      <c r="CX25" s="204">
        <v>402426</v>
      </c>
      <c r="CY25" s="204">
        <v>440615</v>
      </c>
      <c r="CZ25" s="204">
        <v>457189</v>
      </c>
      <c r="DA25" s="203">
        <f>Assumptions!DA64*'Balance Sheet'!DA43</f>
        <v>110726.26830000001</v>
      </c>
      <c r="DB25" s="203">
        <f>Assumptions!DB64*'Balance Sheet'!DB43</f>
        <v>113448.67379999999</v>
      </c>
      <c r="DC25" s="203">
        <f>Assumptions!DC64*'Balance Sheet'!DC43</f>
        <v>116207.62717499999</v>
      </c>
      <c r="DD25" s="203">
        <f>Assumptions!DD64*'Balance Sheet'!DD43</f>
        <v>119683.28514374999</v>
      </c>
      <c r="DE25" s="203">
        <f>Assumptions!DE64*'Balance Sheet'!DE43</f>
        <v>123899.39751374999</v>
      </c>
      <c r="DF25" s="203">
        <f>Assumptions!DF64*'Balance Sheet'!DF43</f>
        <v>128391.36658874998</v>
      </c>
      <c r="DG25" s="203">
        <f>Assumptions!DG64*'Balance Sheet'!DG43</f>
        <v>132943.6396575</v>
      </c>
      <c r="DH25" s="203">
        <f>Assumptions!DH64*'Balance Sheet'!DH43</f>
        <v>137635.7779153125</v>
      </c>
      <c r="DI25" s="203">
        <f>Assumptions!DI64*'Balance Sheet'!DI43</f>
        <v>142484.30714081248</v>
      </c>
      <c r="DJ25" s="203">
        <f>Assumptions!DJ64*'Balance Sheet'!DJ43</f>
        <v>147650.07157706248</v>
      </c>
      <c r="DK25" s="203">
        <f>Assumptions!DK64*'Balance Sheet'!DK43</f>
        <v>152885.18560612499</v>
      </c>
      <c r="DL25" s="203">
        <f>Assumptions!DL64*'Balance Sheet'!DL43</f>
        <v>158281.14460260936</v>
      </c>
      <c r="DM25" s="203">
        <f>Assumptions!DM64*'Balance Sheet'!DM43</f>
        <v>163856.95321193433</v>
      </c>
      <c r="DN25" s="203">
        <f>Assumptions!DN64*'Balance Sheet'!DN43</f>
        <v>169797.58231362185</v>
      </c>
      <c r="DO25" s="203">
        <f>Assumptions!DO64*'Balance Sheet'!DO43</f>
        <v>175817.9634470437</v>
      </c>
      <c r="DP25" s="203">
        <f>Assumptions!DP64*'Balance Sheet'!DP43</f>
        <v>182023.31629300071</v>
      </c>
      <c r="DQ25" s="203">
        <f>Assumptions!DQ64*'Balance Sheet'!DQ43</f>
        <v>188435.49619372448</v>
      </c>
      <c r="DR25" s="203">
        <f>Assumptions!DR64*'Balance Sheet'!DR43</f>
        <v>195267.21966066508</v>
      </c>
      <c r="DS25" s="203">
        <f>Assumptions!DS64*'Balance Sheet'!DS43</f>
        <v>202190.65796410028</v>
      </c>
      <c r="DT25" s="203">
        <f>Assumptions!DT64*'Balance Sheet'!DT43</f>
        <v>209326.81373695086</v>
      </c>
      <c r="DU25" s="203">
        <f>Assumptions!DU64*'Balance Sheet'!DU43</f>
        <v>216700.82062278315</v>
      </c>
      <c r="DV25" s="203">
        <f>Assumptions!DV64*'Balance Sheet'!DV43</f>
        <v>224557.30260976485</v>
      </c>
      <c r="DW25" s="203">
        <f>Assumptions!DW64*'Balance Sheet'!DW43</f>
        <v>232519.25665871525</v>
      </c>
      <c r="DX25" s="203">
        <f>Assumptions!DX64*'Balance Sheet'!DX43</f>
        <v>240725.83579749343</v>
      </c>
    </row>
    <row r="26" spans="1:128" ht="10.199999999999999">
      <c r="A26" s="102" t="s">
        <v>198</v>
      </c>
      <c r="B26" s="118"/>
      <c r="C26" s="118"/>
      <c r="D26" s="118"/>
      <c r="E26" s="118"/>
      <c r="F26" s="118"/>
      <c r="G26" s="118"/>
      <c r="H26" s="93">
        <f>BD26</f>
        <v>0</v>
      </c>
      <c r="I26" s="93">
        <f>BH26</f>
        <v>0</v>
      </c>
      <c r="J26" s="93">
        <f>BL26</f>
        <v>0</v>
      </c>
      <c r="K26" s="93">
        <f>BP26</f>
        <v>0</v>
      </c>
      <c r="L26" s="93">
        <f>BT26</f>
        <v>0</v>
      </c>
      <c r="M26" s="93">
        <f>BX26</f>
        <v>0</v>
      </c>
      <c r="N26" s="93">
        <f>CB26</f>
        <v>350665.83523249999</v>
      </c>
      <c r="O26" s="93">
        <f>CF26</f>
        <v>362742.45416626008</v>
      </c>
      <c r="P26" s="93">
        <f>CJ26</f>
        <v>460321.88808264001</v>
      </c>
      <c r="Q26" s="92">
        <f>CN26</f>
        <v>469155.70420500002</v>
      </c>
      <c r="R26" s="92">
        <f>CR26</f>
        <v>576048.60177085001</v>
      </c>
      <c r="S26" s="92">
        <f>CV26</f>
        <v>578297</v>
      </c>
      <c r="T26" s="586">
        <f>CZ26</f>
        <v>648017</v>
      </c>
      <c r="U26" s="91">
        <f>DD26</f>
        <v>506893.91355000006</v>
      </c>
      <c r="V26" s="91">
        <f>DH26</f>
        <v>582928.00058250013</v>
      </c>
      <c r="W26" s="91">
        <f>DL26</f>
        <v>670367.2006698749</v>
      </c>
      <c r="X26" s="91">
        <f>DP26</f>
        <v>770922.28077035607</v>
      </c>
      <c r="Y26" s="91">
        <f>DT26</f>
        <v>886560.62288590963</v>
      </c>
      <c r="Z26" s="91">
        <f>DX26</f>
        <v>1019544.7163187958</v>
      </c>
      <c r="AA26" s="33"/>
      <c r="AB26" s="102" t="str">
        <f>A26</f>
        <v>Premiums and other policyholder receivables</v>
      </c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  <c r="BS26" s="118"/>
      <c r="BT26" s="118"/>
      <c r="BU26" s="118"/>
      <c r="BV26" s="118"/>
      <c r="BW26" s="118"/>
      <c r="BX26" s="118"/>
      <c r="BY26" s="204">
        <v>311968.41991276998</v>
      </c>
      <c r="BZ26" s="204">
        <v>323080.74111389997</v>
      </c>
      <c r="CA26" s="204">
        <v>316285.00319919997</v>
      </c>
      <c r="CB26" s="204">
        <v>350665.83523249999</v>
      </c>
      <c r="CC26" s="204">
        <v>279914.67976721999</v>
      </c>
      <c r="CD26" s="204">
        <v>297247.78401552001</v>
      </c>
      <c r="CE26" s="204">
        <v>341804.82595160999</v>
      </c>
      <c r="CF26" s="204">
        <v>362742.45416626008</v>
      </c>
      <c r="CG26" s="204">
        <v>328599.15981327998</v>
      </c>
      <c r="CH26" s="204">
        <v>360273.10258980992</v>
      </c>
      <c r="CI26" s="204">
        <v>383246.98385306995</v>
      </c>
      <c r="CJ26" s="204">
        <v>460321.88808264001</v>
      </c>
      <c r="CK26" s="204">
        <v>446210.96870658</v>
      </c>
      <c r="CL26" s="204">
        <v>444227.66054615</v>
      </c>
      <c r="CM26" s="204">
        <v>458272.26776118</v>
      </c>
      <c r="CN26" s="204">
        <v>469155.70420500002</v>
      </c>
      <c r="CO26" s="204">
        <v>513750.99260865006</v>
      </c>
      <c r="CP26" s="204">
        <v>578166.71605602012</v>
      </c>
      <c r="CQ26" s="204">
        <v>579779.63488848007</v>
      </c>
      <c r="CR26" s="204">
        <v>576048.60177085001</v>
      </c>
      <c r="CS26" s="204">
        <v>561438</v>
      </c>
      <c r="CT26" s="204">
        <v>584692</v>
      </c>
      <c r="CU26" s="204">
        <v>609194</v>
      </c>
      <c r="CV26" s="204">
        <v>578297</v>
      </c>
      <c r="CW26" s="204">
        <v>622377</v>
      </c>
      <c r="CX26" s="204">
        <v>571066</v>
      </c>
      <c r="CY26" s="204">
        <v>599846</v>
      </c>
      <c r="CZ26" s="204">
        <v>648017</v>
      </c>
      <c r="DA26" s="203">
        <f>Assumptions!DA65*SUM('Income Statement'!CX23:DA23)</f>
        <v>468958.31280000007</v>
      </c>
      <c r="DB26" s="203">
        <f>Assumptions!DB65*SUM('Income Statement'!CY23:DB23)</f>
        <v>480488.50080000004</v>
      </c>
      <c r="DC26" s="203">
        <f>Assumptions!DC65*SUM('Income Statement'!CZ23:DC23)</f>
        <v>492173.47980000003</v>
      </c>
      <c r="DD26" s="203">
        <f>Assumptions!DD65*SUM('Income Statement'!DA23:DD23)</f>
        <v>506893.91355000006</v>
      </c>
      <c r="DE26" s="203">
        <f>Assumptions!DE65*SUM('Income Statement'!DB23:DE23)</f>
        <v>524750.38947000005</v>
      </c>
      <c r="DF26" s="203">
        <f>Assumptions!DF65*SUM('Income Statement'!DC23:DF23)</f>
        <v>543775.19967</v>
      </c>
      <c r="DG26" s="203">
        <f>Assumptions!DG65*SUM('Income Statement'!DD23:DG23)</f>
        <v>563055.41502000007</v>
      </c>
      <c r="DH26" s="203">
        <f>Assumptions!DH65*SUM('Income Statement'!DE23:DH23)</f>
        <v>582928.00058250013</v>
      </c>
      <c r="DI26" s="203">
        <f>Assumptions!DI65*SUM('Income Statement'!DF23:DI23)</f>
        <v>603462.94789049996</v>
      </c>
      <c r="DJ26" s="203">
        <f>Assumptions!DJ65*SUM('Income Statement'!DG23:DJ23)</f>
        <v>625341.4796205</v>
      </c>
      <c r="DK26" s="203">
        <f>Assumptions!DK65*SUM('Income Statement'!DH23:DK23)</f>
        <v>647513.72727300005</v>
      </c>
      <c r="DL26" s="203">
        <f>Assumptions!DL65*SUM('Income Statement'!DI23:DL23)</f>
        <v>670367.2006698749</v>
      </c>
      <c r="DM26" s="203">
        <f>Assumptions!DM65*SUM('Income Statement'!DJ23:DM23)</f>
        <v>693982.39007407497</v>
      </c>
      <c r="DN26" s="203">
        <f>Assumptions!DN65*SUM('Income Statement'!DK23:DN23)</f>
        <v>719142.70156357496</v>
      </c>
      <c r="DO26" s="203">
        <f>Assumptions!DO65*SUM('Income Statement'!DL23:DO23)</f>
        <v>744640.78636394988</v>
      </c>
      <c r="DP26" s="203">
        <f>Assumptions!DP65*SUM('Income Statement'!DM23:DP23)</f>
        <v>770922.28077035607</v>
      </c>
      <c r="DQ26" s="203">
        <f>Assumptions!DQ65*SUM('Income Statement'!DN23:DQ23)</f>
        <v>798079.74858518608</v>
      </c>
      <c r="DR26" s="203">
        <f>Assumptions!DR65*SUM('Income Statement'!DO23:DR23)</f>
        <v>827014.10679811111</v>
      </c>
      <c r="DS26" s="203">
        <f>Assumptions!DS65*SUM('Income Statement'!DP23:DS23)</f>
        <v>856336.90431854234</v>
      </c>
      <c r="DT26" s="203">
        <f>Assumptions!DT65*SUM('Income Statement'!DQ23:DT23)</f>
        <v>886560.62288590963</v>
      </c>
      <c r="DU26" s="203">
        <f>Assumptions!DU65*SUM('Income Statement'!DR23:DU23)</f>
        <v>917791.710872964</v>
      </c>
      <c r="DV26" s="203">
        <f>Assumptions!DV65*SUM('Income Statement'!DS23:DV23)</f>
        <v>951066.22281782771</v>
      </c>
      <c r="DW26" s="203">
        <f>Assumptions!DW65*SUM('Income Statement'!DT23:DW23)</f>
        <v>984787.43996632355</v>
      </c>
      <c r="DX26" s="203">
        <f>Assumptions!DX65*SUM('Income Statement'!DU23:DX23)</f>
        <v>1019544.7163187958</v>
      </c>
    </row>
    <row r="27" spans="1:128" ht="10.199999999999999">
      <c r="A27" s="102"/>
      <c r="B27" s="118"/>
      <c r="C27" s="118"/>
      <c r="D27" s="118"/>
      <c r="E27" s="118"/>
      <c r="F27" s="118"/>
      <c r="G27" s="118"/>
      <c r="H27" s="93"/>
      <c r="I27" s="93"/>
      <c r="J27" s="93"/>
      <c r="K27" s="93"/>
      <c r="L27" s="93"/>
      <c r="M27" s="93"/>
      <c r="N27" s="93"/>
      <c r="O27" s="93"/>
      <c r="P27" s="93"/>
      <c r="Q27" s="92"/>
      <c r="R27" s="92"/>
      <c r="S27" s="92"/>
      <c r="T27" s="586"/>
      <c r="U27" s="91"/>
      <c r="V27" s="91"/>
      <c r="W27" s="91"/>
      <c r="X27" s="91"/>
      <c r="Y27" s="91"/>
      <c r="Z27" s="91"/>
      <c r="AA27" s="33"/>
      <c r="AB27" s="102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4"/>
      <c r="CY27" s="204"/>
      <c r="CZ27" s="204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</row>
    <row r="28" spans="1:128" ht="10.199999999999999">
      <c r="A28" s="102" t="s">
        <v>197</v>
      </c>
      <c r="B28" s="118"/>
      <c r="C28" s="118"/>
      <c r="D28" s="118"/>
      <c r="E28" s="118"/>
      <c r="F28" s="118"/>
      <c r="G28" s="118"/>
      <c r="H28" s="93">
        <f>BD28</f>
        <v>0</v>
      </c>
      <c r="I28" s="93">
        <f>BH28</f>
        <v>0</v>
      </c>
      <c r="J28" s="93">
        <f>BL28</f>
        <v>0</v>
      </c>
      <c r="K28" s="93">
        <f>BP28</f>
        <v>0</v>
      </c>
      <c r="L28" s="93">
        <f>BT28</f>
        <v>0</v>
      </c>
      <c r="M28" s="93">
        <f>BX28</f>
        <v>0</v>
      </c>
      <c r="N28" s="93">
        <f>CB28</f>
        <v>994445.90024380013</v>
      </c>
      <c r="O28" s="93">
        <f>CF28</f>
        <v>1048650.7574514202</v>
      </c>
      <c r="P28" s="93">
        <f>CJ28</f>
        <v>1194589.70295768</v>
      </c>
      <c r="Q28" s="92">
        <f>CN28</f>
        <v>1437834.0435330002</v>
      </c>
      <c r="R28" s="92">
        <f>CR28</f>
        <v>1976072.6144376523</v>
      </c>
      <c r="S28" s="92">
        <f>CV28</f>
        <v>2062744</v>
      </c>
      <c r="T28" s="586">
        <f>CZ28</f>
        <v>1846571</v>
      </c>
      <c r="U28" s="91">
        <f>DD28</f>
        <v>1921549.1873497099</v>
      </c>
      <c r="V28" s="91">
        <f>DH28</f>
        <v>1999571.7897683496</v>
      </c>
      <c r="W28" s="91">
        <f>DL28</f>
        <v>2080762.4227158215</v>
      </c>
      <c r="X28" s="91">
        <f>DP28</f>
        <v>2165249.7209353987</v>
      </c>
      <c r="Y28" s="91">
        <f>DT28</f>
        <v>2253167.5422567567</v>
      </c>
      <c r="Z28" s="91">
        <f>DX28</f>
        <v>2344655.1796742254</v>
      </c>
      <c r="AA28" s="33"/>
      <c r="AB28" s="102" t="str">
        <f>A28</f>
        <v>Property, plant and equipment, net</v>
      </c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  <c r="BS28" s="118"/>
      <c r="BT28" s="118"/>
      <c r="BU28" s="118"/>
      <c r="BV28" s="118"/>
      <c r="BW28" s="118"/>
      <c r="BX28" s="118"/>
      <c r="BY28" s="204">
        <v>1030546.02350197</v>
      </c>
      <c r="BZ28" s="204">
        <v>976078.78255299933</v>
      </c>
      <c r="CA28" s="204">
        <v>932202.79414556001</v>
      </c>
      <c r="CB28" s="204">
        <v>994445.90024380013</v>
      </c>
      <c r="CC28" s="204">
        <v>986352.68054283014</v>
      </c>
      <c r="CD28" s="204">
        <v>995296.53693798021</v>
      </c>
      <c r="CE28" s="204">
        <v>1002447.2173387804</v>
      </c>
      <c r="CF28" s="204">
        <v>1048650.7574514202</v>
      </c>
      <c r="CG28" s="204">
        <v>1056566.7664802398</v>
      </c>
      <c r="CH28" s="204">
        <v>1084048.6955469202</v>
      </c>
      <c r="CI28" s="204">
        <v>1115859.0997808196</v>
      </c>
      <c r="CJ28" s="204">
        <v>1194589.70295768</v>
      </c>
      <c r="CK28" s="204">
        <v>1285243.7226392396</v>
      </c>
      <c r="CL28" s="204">
        <v>1318929.2539571503</v>
      </c>
      <c r="CM28" s="204">
        <v>1328553.64793184</v>
      </c>
      <c r="CN28" s="204">
        <v>1437834.0435330002</v>
      </c>
      <c r="CO28" s="204">
        <v>1506449.59443828</v>
      </c>
      <c r="CP28" s="204">
        <v>1690455.4383711799</v>
      </c>
      <c r="CQ28" s="204">
        <v>1792603.5423555286</v>
      </c>
      <c r="CR28" s="204">
        <v>1976072.6144376523</v>
      </c>
      <c r="CS28" s="204">
        <v>2104130</v>
      </c>
      <c r="CT28" s="204">
        <v>2163838</v>
      </c>
      <c r="CU28" s="204">
        <v>2199091</v>
      </c>
      <c r="CV28" s="204">
        <v>2062744</v>
      </c>
      <c r="CW28" s="204">
        <v>1904196</v>
      </c>
      <c r="CX28" s="204">
        <v>1878261</v>
      </c>
      <c r="CY28" s="204">
        <v>1854665</v>
      </c>
      <c r="CZ28" s="204">
        <v>1846571</v>
      </c>
      <c r="DA28" s="203">
        <f>(1+Assumptions!DA68)*'Balance Sheet'!CZ28</f>
        <v>1865036.71</v>
      </c>
      <c r="DB28" s="203">
        <f>(1+Assumptions!DB68)*'Balance Sheet'!DA28</f>
        <v>1883687.0770999999</v>
      </c>
      <c r="DC28" s="203">
        <f>(1+Assumptions!DC68)*'Balance Sheet'!DB28</f>
        <v>1902523.9478709998</v>
      </c>
      <c r="DD28" s="203">
        <f>(1+Assumptions!DD68)*'Balance Sheet'!DC28</f>
        <v>1921549.1873497099</v>
      </c>
      <c r="DE28" s="203">
        <f>(1+Assumptions!DE68)*'Balance Sheet'!DD28</f>
        <v>1940764.6792232071</v>
      </c>
      <c r="DF28" s="203">
        <f>(1+Assumptions!DF68)*'Balance Sheet'!DE28</f>
        <v>1960172.3260154391</v>
      </c>
      <c r="DG28" s="203">
        <f>(1+Assumptions!DG68)*'Balance Sheet'!DF28</f>
        <v>1979774.0492755936</v>
      </c>
      <c r="DH28" s="203">
        <f>(1+Assumptions!DH68)*'Balance Sheet'!DG28</f>
        <v>1999571.7897683496</v>
      </c>
      <c r="DI28" s="203">
        <f>(1+Assumptions!DI68)*'Balance Sheet'!DH28</f>
        <v>2019567.5076660332</v>
      </c>
      <c r="DJ28" s="203">
        <f>(1+Assumptions!DJ68)*'Balance Sheet'!DI28</f>
        <v>2039763.1827426935</v>
      </c>
      <c r="DK28" s="203">
        <f>(1+Assumptions!DK68)*'Balance Sheet'!DJ28</f>
        <v>2060160.8145701203</v>
      </c>
      <c r="DL28" s="203">
        <f>(1+Assumptions!DL68)*'Balance Sheet'!DK28</f>
        <v>2080762.4227158215</v>
      </c>
      <c r="DM28" s="203">
        <f>(1+Assumptions!DM68)*'Balance Sheet'!DL28</f>
        <v>2101570.0469429796</v>
      </c>
      <c r="DN28" s="203">
        <f>(1+Assumptions!DN68)*'Balance Sheet'!DM28</f>
        <v>2122585.7474124092</v>
      </c>
      <c r="DO28" s="203">
        <f>(1+Assumptions!DO68)*'Balance Sheet'!DN28</f>
        <v>2143811.6048865332</v>
      </c>
      <c r="DP28" s="203">
        <f>(1+Assumptions!DP68)*'Balance Sheet'!DO28</f>
        <v>2165249.7209353987</v>
      </c>
      <c r="DQ28" s="203">
        <f>(1+Assumptions!DQ68)*'Balance Sheet'!DP28</f>
        <v>2186902.2181447526</v>
      </c>
      <c r="DR28" s="203">
        <f>(1+Assumptions!DR68)*'Balance Sheet'!DQ28</f>
        <v>2208771.2403262001</v>
      </c>
      <c r="DS28" s="203">
        <f>(1+Assumptions!DS68)*'Balance Sheet'!DR28</f>
        <v>2230858.9527294622</v>
      </c>
      <c r="DT28" s="203">
        <f>(1+Assumptions!DT68)*'Balance Sheet'!DS28</f>
        <v>2253167.5422567567</v>
      </c>
      <c r="DU28" s="203">
        <f>(1+Assumptions!DU68)*'Balance Sheet'!DT28</f>
        <v>2275699.2176793241</v>
      </c>
      <c r="DV28" s="203">
        <f>(1+Assumptions!DV68)*'Balance Sheet'!DU28</f>
        <v>2298456.2098561171</v>
      </c>
      <c r="DW28" s="203">
        <f>(1+Assumptions!DW68)*'Balance Sheet'!DV28</f>
        <v>2321440.7719546785</v>
      </c>
      <c r="DX28" s="203">
        <f>(1+Assumptions!DX68)*'Balance Sheet'!DW28</f>
        <v>2344655.1796742254</v>
      </c>
    </row>
    <row r="29" spans="1:128" ht="10.199999999999999">
      <c r="A29" s="102" t="s">
        <v>152</v>
      </c>
      <c r="B29" s="118"/>
      <c r="C29" s="118"/>
      <c r="D29" s="118"/>
      <c r="E29" s="118"/>
      <c r="F29" s="118"/>
      <c r="G29" s="118"/>
      <c r="H29" s="93">
        <f>BD29</f>
        <v>0</v>
      </c>
      <c r="I29" s="93">
        <f>BH29</f>
        <v>0</v>
      </c>
      <c r="J29" s="93">
        <f>BL29</f>
        <v>0</v>
      </c>
      <c r="K29" s="93">
        <f>BP29</f>
        <v>0</v>
      </c>
      <c r="L29" s="93">
        <f>BT29</f>
        <v>0</v>
      </c>
      <c r="M29" s="93">
        <f>BX29</f>
        <v>0</v>
      </c>
      <c r="N29" s="93">
        <f>CB29</f>
        <v>3526958.9411263</v>
      </c>
      <c r="O29" s="93">
        <f>CF29</f>
        <v>3511175.21090671</v>
      </c>
      <c r="P29" s="93">
        <f>CJ29</f>
        <v>3971860.8263169602</v>
      </c>
      <c r="Q29" s="92">
        <f>CN29</f>
        <v>9240460.7406955753</v>
      </c>
      <c r="R29" s="92">
        <f>CR29</f>
        <v>6472574.991480629</v>
      </c>
      <c r="S29" s="92">
        <f>CV29</f>
        <v>8716979</v>
      </c>
      <c r="T29" s="586">
        <f>CZ29</f>
        <v>7811702</v>
      </c>
      <c r="U29" s="91">
        <f>DD29</f>
        <v>8066286.0656847041</v>
      </c>
      <c r="V29" s="91">
        <f>DH29</f>
        <v>8306255.3841723436</v>
      </c>
      <c r="W29" s="91">
        <f>DL29</f>
        <v>8555443.0456975121</v>
      </c>
      <c r="X29" s="91">
        <f>DP29</f>
        <v>8812106.3370684348</v>
      </c>
      <c r="Y29" s="91">
        <f>DT29</f>
        <v>9076469.5271804873</v>
      </c>
      <c r="Z29" s="91">
        <f>DX29</f>
        <v>9348763.6129958984</v>
      </c>
      <c r="AA29" s="33"/>
      <c r="AB29" s="102" t="str">
        <f>A29</f>
        <v>Other assets</v>
      </c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204">
        <v>3584201.3535664198</v>
      </c>
      <c r="BZ29" s="204">
        <v>4043929.9965371988</v>
      </c>
      <c r="CA29" s="204">
        <v>3969896.8901619995</v>
      </c>
      <c r="CB29" s="204">
        <v>3526958.9411263</v>
      </c>
      <c r="CC29" s="204">
        <v>4456667.0215901202</v>
      </c>
      <c r="CD29" s="204">
        <v>4169561.8671848802</v>
      </c>
      <c r="CE29" s="204">
        <v>3745357.7330993302</v>
      </c>
      <c r="CF29" s="204">
        <v>3511175.21090671</v>
      </c>
      <c r="CG29" s="204">
        <v>4121280.4036036409</v>
      </c>
      <c r="CH29" s="204">
        <v>3961609.7469226997</v>
      </c>
      <c r="CI29" s="204">
        <v>4039958.8336493699</v>
      </c>
      <c r="CJ29" s="204">
        <v>3971860.8263169602</v>
      </c>
      <c r="CK29" s="204">
        <v>4423404.6304100603</v>
      </c>
      <c r="CL29" s="204">
        <v>5121482.4312970201</v>
      </c>
      <c r="CM29" s="204">
        <v>8066517.2657790584</v>
      </c>
      <c r="CN29" s="204">
        <v>9240460.7406955753</v>
      </c>
      <c r="CO29" s="204">
        <v>8419834.1973888669</v>
      </c>
      <c r="CP29" s="204">
        <v>7805271.3271356998</v>
      </c>
      <c r="CQ29" s="204">
        <v>7431424.94183343</v>
      </c>
      <c r="CR29" s="204">
        <v>6472574.991480629</v>
      </c>
      <c r="CS29" s="204">
        <v>8096912</v>
      </c>
      <c r="CT29" s="204">
        <v>8454883</v>
      </c>
      <c r="CU29" s="204">
        <v>8971223</v>
      </c>
      <c r="CV29" s="204">
        <v>8716979</v>
      </c>
      <c r="CW29" s="204">
        <f>8837181</f>
        <v>8837181</v>
      </c>
      <c r="CX29" s="204">
        <v>8329829</v>
      </c>
      <c r="CY29" s="204">
        <v>8619706</v>
      </c>
      <c r="CZ29" s="204">
        <v>7811702</v>
      </c>
      <c r="DA29" s="203">
        <f>(1+Assumptions!DA69)*'Balance Sheet'!CZ29</f>
        <v>7876057.7991794916</v>
      </c>
      <c r="DB29" s="203">
        <f>(1+Assumptions!DB69)*'Balance Sheet'!DA29</f>
        <v>7942167.2659115074</v>
      </c>
      <c r="DC29" s="203">
        <f>(1+Assumptions!DC69)*'Balance Sheet'!DB29</f>
        <v>8004956.0825621979</v>
      </c>
      <c r="DD29" s="203">
        <f>(1+Assumptions!DD69)*'Balance Sheet'!DC29</f>
        <v>8066286.0656847041</v>
      </c>
      <c r="DE29" s="203">
        <f>(1+Assumptions!DE69)*'Balance Sheet'!DD29</f>
        <v>8128085.9285655767</v>
      </c>
      <c r="DF29" s="203">
        <f>(1+Assumptions!DF69)*'Balance Sheet'!DE29</f>
        <v>8186384.3322506072</v>
      </c>
      <c r="DG29" s="203">
        <f>(1+Assumptions!DG69)*'Balance Sheet'!DF29</f>
        <v>8245100.8791371351</v>
      </c>
      <c r="DH29" s="203">
        <f>(1+Assumptions!DH69)*'Balance Sheet'!DG29</f>
        <v>8306255.3841723436</v>
      </c>
      <c r="DI29" s="203">
        <f>(1+Assumptions!DI69)*'Balance Sheet'!DH29</f>
        <v>8367863.4765609298</v>
      </c>
      <c r="DJ29" s="203">
        <f>(1+Assumptions!DJ69)*'Balance Sheet'!DI29</f>
        <v>8429928.5205928516</v>
      </c>
      <c r="DK29" s="203">
        <f>(1+Assumptions!DK69)*'Balance Sheet'!DJ29</f>
        <v>8492453.905511247</v>
      </c>
      <c r="DL29" s="203">
        <f>(1+Assumptions!DL69)*'Balance Sheet'!DK29</f>
        <v>8555443.0456975121</v>
      </c>
      <c r="DM29" s="203">
        <f>(1+Assumptions!DM69)*'Balance Sheet'!DL29</f>
        <v>8618899.3808577564</v>
      </c>
      <c r="DN29" s="203">
        <f>(1+Assumptions!DN69)*'Balance Sheet'!DM29</f>
        <v>8682826.3762106355</v>
      </c>
      <c r="DO29" s="203">
        <f>(1+Assumptions!DO69)*'Balance Sheet'!DN29</f>
        <v>8747227.5226765815</v>
      </c>
      <c r="DP29" s="203">
        <f>(1+Assumptions!DP69)*'Balance Sheet'!DO29</f>
        <v>8812106.3370684348</v>
      </c>
      <c r="DQ29" s="203">
        <f>(1+Assumptions!DQ69)*'Balance Sheet'!DP29</f>
        <v>8877466.3622834869</v>
      </c>
      <c r="DR29" s="203">
        <f>(1+Assumptions!DR69)*'Balance Sheet'!DQ29</f>
        <v>8943311.1674969532</v>
      </c>
      <c r="DS29" s="203">
        <f>(1+Assumptions!DS69)*'Balance Sheet'!DR29</f>
        <v>9009644.3483568784</v>
      </c>
      <c r="DT29" s="203">
        <f>(1+Assumptions!DT69)*'Balance Sheet'!DS29</f>
        <v>9076469.5271804873</v>
      </c>
      <c r="DU29" s="203">
        <f>(1+Assumptions!DU69)*'Balance Sheet'!DT29</f>
        <v>9143790.3531519901</v>
      </c>
      <c r="DV29" s="203">
        <f>(1+Assumptions!DV69)*'Balance Sheet'!DU29</f>
        <v>9211610.5025218595</v>
      </c>
      <c r="DW29" s="203">
        <f>(1+Assumptions!DW69)*'Balance Sheet'!DV29</f>
        <v>9279933.6788075827</v>
      </c>
      <c r="DX29" s="203">
        <f>(1+Assumptions!DX69)*'Balance Sheet'!DW29</f>
        <v>9348763.6129958984</v>
      </c>
    </row>
    <row r="30" spans="1:128" ht="10.199999999999999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99"/>
      <c r="R30" s="199"/>
      <c r="S30" s="199"/>
      <c r="T30" s="596"/>
      <c r="U30" s="198"/>
      <c r="V30" s="198"/>
      <c r="W30" s="198"/>
      <c r="X30" s="198"/>
      <c r="Y30" s="198"/>
      <c r="Z30" s="198"/>
      <c r="AA30" s="33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88"/>
      <c r="CM30" s="188"/>
      <c r="CN30" s="188"/>
      <c r="CO30" s="198"/>
      <c r="CP30" s="198"/>
      <c r="CQ30" s="198"/>
      <c r="CR30" s="198"/>
      <c r="CS30" s="198"/>
      <c r="CT30" s="552"/>
      <c r="CU30" s="552"/>
      <c r="CV30" s="204"/>
      <c r="CW30" s="204"/>
      <c r="CX30" s="198"/>
      <c r="CY30" s="198"/>
      <c r="CZ30" s="596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</row>
    <row r="31" spans="1:128" ht="10.199999999999999">
      <c r="A31" s="195" t="s">
        <v>196</v>
      </c>
      <c r="B31" s="194">
        <f t="shared" ref="B31:Y31" si="31">B13+B15+B16+B17+B23+B25+B26+B28+B29</f>
        <v>0</v>
      </c>
      <c r="C31" s="194">
        <f t="shared" si="31"/>
        <v>0</v>
      </c>
      <c r="D31" s="194">
        <f t="shared" si="31"/>
        <v>0</v>
      </c>
      <c r="E31" s="194">
        <f t="shared" si="31"/>
        <v>0</v>
      </c>
      <c r="F31" s="194">
        <f t="shared" si="31"/>
        <v>0</v>
      </c>
      <c r="G31" s="194">
        <f t="shared" si="31"/>
        <v>0</v>
      </c>
      <c r="H31" s="194">
        <f t="shared" si="31"/>
        <v>0</v>
      </c>
      <c r="I31" s="194">
        <f t="shared" si="31"/>
        <v>0</v>
      </c>
      <c r="J31" s="194">
        <f t="shared" si="31"/>
        <v>0</v>
      </c>
      <c r="K31" s="194">
        <f t="shared" si="31"/>
        <v>0</v>
      </c>
      <c r="L31" s="194">
        <f t="shared" si="31"/>
        <v>0</v>
      </c>
      <c r="M31" s="194">
        <f t="shared" si="31"/>
        <v>0</v>
      </c>
      <c r="N31" s="194">
        <f t="shared" si="31"/>
        <v>64002989.867497727</v>
      </c>
      <c r="O31" s="194">
        <f t="shared" si="31"/>
        <v>79920191.254091039</v>
      </c>
      <c r="P31" s="194">
        <f t="shared" si="31"/>
        <v>83350090.280237764</v>
      </c>
      <c r="Q31" s="197">
        <f t="shared" si="31"/>
        <v>104923911.94455707</v>
      </c>
      <c r="R31" s="197">
        <f t="shared" si="31"/>
        <v>114543465.7028071</v>
      </c>
      <c r="S31" s="197">
        <f t="shared" si="31"/>
        <v>135451412</v>
      </c>
      <c r="T31" s="597">
        <f t="shared" si="31"/>
        <v>155701719</v>
      </c>
      <c r="U31" s="196">
        <f t="shared" si="31"/>
        <v>172678758.37389895</v>
      </c>
      <c r="V31" s="196">
        <f t="shared" si="31"/>
        <v>188902947.06381118</v>
      </c>
      <c r="W31" s="196">
        <f t="shared" si="31"/>
        <v>205993953.02063489</v>
      </c>
      <c r="X31" s="196">
        <f t="shared" si="31"/>
        <v>225184426.94785723</v>
      </c>
      <c r="Y31" s="196">
        <f t="shared" si="31"/>
        <v>247560833.17758909</v>
      </c>
      <c r="Z31" s="196">
        <f t="shared" ref="Z31" si="32">Z13+Z15+Z16+Z17+Z23+Z25+Z26+Z28+Z29</f>
        <v>273578423.36411309</v>
      </c>
      <c r="AA31" s="33"/>
      <c r="AB31" s="195" t="str">
        <f>A31</f>
        <v>Total Assets</v>
      </c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195"/>
      <c r="BP31" s="195"/>
      <c r="BQ31" s="195"/>
      <c r="BR31" s="195"/>
      <c r="BS31" s="195"/>
      <c r="BT31" s="195"/>
      <c r="BU31" s="195"/>
      <c r="BV31" s="195"/>
      <c r="BW31" s="195"/>
      <c r="BX31" s="195"/>
      <c r="BY31" s="194">
        <f t="shared" ref="BY31:DT31" si="33">BY13+BY15+BY16+BY17+BY23+BY25+BY26+BY28+BY29</f>
        <v>66608781.699955046</v>
      </c>
      <c r="BZ31" s="194">
        <f t="shared" si="33"/>
        <v>62905539.692381404</v>
      </c>
      <c r="CA31" s="194">
        <f t="shared" si="33"/>
        <v>59907770.441963069</v>
      </c>
      <c r="CB31" s="194">
        <f t="shared" si="33"/>
        <v>64002989.867497727</v>
      </c>
      <c r="CC31" s="194">
        <f t="shared" si="33"/>
        <v>66710861.644202478</v>
      </c>
      <c r="CD31" s="194">
        <f t="shared" si="33"/>
        <v>67342204.400123432</v>
      </c>
      <c r="CE31" s="194">
        <f t="shared" si="33"/>
        <v>74134401.875353888</v>
      </c>
      <c r="CF31" s="194">
        <f t="shared" si="33"/>
        <v>79920191.254091039</v>
      </c>
      <c r="CG31" s="194">
        <f t="shared" si="33"/>
        <v>82256957.67341736</v>
      </c>
      <c r="CH31" s="194">
        <f t="shared" si="33"/>
        <v>81530614.714953035</v>
      </c>
      <c r="CI31" s="194">
        <f t="shared" si="33"/>
        <v>82236691.230406046</v>
      </c>
      <c r="CJ31" s="194">
        <f t="shared" si="33"/>
        <v>83350090.280237764</v>
      </c>
      <c r="CK31" s="194">
        <f t="shared" si="33"/>
        <v>91107449.74855423</v>
      </c>
      <c r="CL31" s="194">
        <f t="shared" si="33"/>
        <v>93694115.519579515</v>
      </c>
      <c r="CM31" s="194">
        <f t="shared" si="33"/>
        <v>97946595.147245899</v>
      </c>
      <c r="CN31" s="194">
        <f t="shared" si="33"/>
        <v>104923911.94455707</v>
      </c>
      <c r="CO31" s="194">
        <f t="shared" si="33"/>
        <v>110069891.00488842</v>
      </c>
      <c r="CP31" s="194">
        <f t="shared" si="33"/>
        <v>110860435.63400789</v>
      </c>
      <c r="CQ31" s="194">
        <f t="shared" si="33"/>
        <v>111818496.81722938</v>
      </c>
      <c r="CR31" s="194">
        <f t="shared" si="33"/>
        <v>114543465.7028071</v>
      </c>
      <c r="CS31" s="194">
        <f t="shared" si="33"/>
        <v>124013176</v>
      </c>
      <c r="CT31" s="194">
        <f t="shared" si="33"/>
        <v>127141418</v>
      </c>
      <c r="CU31" s="194">
        <f t="shared" si="33"/>
        <v>132654031</v>
      </c>
      <c r="CV31" s="194">
        <f t="shared" si="33"/>
        <v>135451412</v>
      </c>
      <c r="CW31" s="194">
        <f t="shared" si="33"/>
        <v>140863892</v>
      </c>
      <c r="CX31" s="194">
        <f t="shared" si="33"/>
        <v>143239414</v>
      </c>
      <c r="CY31" s="194">
        <f t="shared" ref="CY31:CZ31" si="34">CY13+CY15+CY16+CY17+CY23+CY25+CY26+CY28+CY29</f>
        <v>152802680</v>
      </c>
      <c r="CZ31" s="597">
        <f t="shared" si="34"/>
        <v>155701719</v>
      </c>
      <c r="DA31" s="193">
        <f t="shared" si="33"/>
        <v>166394055.94671869</v>
      </c>
      <c r="DB31" s="193">
        <f t="shared" si="33"/>
        <v>165498785.43773031</v>
      </c>
      <c r="DC31" s="193">
        <f t="shared" si="33"/>
        <v>172851028.07468897</v>
      </c>
      <c r="DD31" s="193">
        <f t="shared" si="33"/>
        <v>172678758.37389895</v>
      </c>
      <c r="DE31" s="193">
        <f t="shared" si="33"/>
        <v>180119012.61574483</v>
      </c>
      <c r="DF31" s="193">
        <f t="shared" si="33"/>
        <v>180749637.45898899</v>
      </c>
      <c r="DG31" s="193">
        <f t="shared" si="33"/>
        <v>188280413.03974655</v>
      </c>
      <c r="DH31" s="193">
        <f t="shared" si="33"/>
        <v>188902947.06381118</v>
      </c>
      <c r="DI31" s="193">
        <f t="shared" si="33"/>
        <v>196054603.29920611</v>
      </c>
      <c r="DJ31" s="193">
        <f t="shared" si="33"/>
        <v>197336149.5610027</v>
      </c>
      <c r="DK31" s="193">
        <f t="shared" si="33"/>
        <v>204606307.03799736</v>
      </c>
      <c r="DL31" s="193">
        <f t="shared" si="33"/>
        <v>205993953.02063489</v>
      </c>
      <c r="DM31" s="193">
        <f t="shared" si="33"/>
        <v>213137186.75873345</v>
      </c>
      <c r="DN31" s="193">
        <f t="shared" si="33"/>
        <v>215436538.56627241</v>
      </c>
      <c r="DO31" s="193">
        <f t="shared" si="33"/>
        <v>222660846.21732196</v>
      </c>
      <c r="DP31" s="193">
        <f t="shared" si="33"/>
        <v>225184426.94785723</v>
      </c>
      <c r="DQ31" s="193">
        <f t="shared" si="33"/>
        <v>232250618.37817496</v>
      </c>
      <c r="DR31" s="193">
        <f t="shared" si="33"/>
        <v>235902038.1662153</v>
      </c>
      <c r="DS31" s="193">
        <f t="shared" si="33"/>
        <v>242920317.96623161</v>
      </c>
      <c r="DT31" s="193">
        <f t="shared" si="33"/>
        <v>247560833.17758909</v>
      </c>
      <c r="DU31" s="193">
        <f t="shared" ref="DU31:DX31" si="35">DU13+DU15+DU16+DU17+DU23+DU25+DU26+DU28+DU29</f>
        <v>254118124.62635934</v>
      </c>
      <c r="DV31" s="193">
        <f t="shared" si="35"/>
        <v>260071189.55047283</v>
      </c>
      <c r="DW31" s="193">
        <f t="shared" si="35"/>
        <v>266595367.10314962</v>
      </c>
      <c r="DX31" s="193">
        <f t="shared" si="35"/>
        <v>273578423.36411309</v>
      </c>
    </row>
    <row r="32" spans="1:128" ht="10.199999999999999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99"/>
      <c r="R32" s="199"/>
      <c r="S32" s="199"/>
      <c r="T32" s="596"/>
      <c r="U32" s="198"/>
      <c r="V32" s="198"/>
      <c r="W32" s="198"/>
      <c r="X32" s="198"/>
      <c r="Y32" s="198"/>
      <c r="Z32" s="198"/>
      <c r="AA32" s="33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88"/>
      <c r="CM32" s="198"/>
      <c r="CN32" s="198"/>
      <c r="CO32" s="198"/>
      <c r="CP32" s="198"/>
      <c r="CQ32" s="198"/>
      <c r="CR32" s="552"/>
      <c r="CS32" s="552"/>
      <c r="CT32" s="552"/>
      <c r="CU32" s="552"/>
      <c r="CV32" s="552"/>
      <c r="CW32" s="198"/>
      <c r="CX32" s="198"/>
      <c r="CY32" s="198"/>
      <c r="CZ32" s="596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</row>
    <row r="33" spans="1:129" ht="10.199999999999999">
      <c r="A33" s="206" t="s">
        <v>195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208"/>
      <c r="R33" s="208"/>
      <c r="S33" s="208"/>
      <c r="T33" s="605"/>
      <c r="U33" s="207"/>
      <c r="V33" s="207"/>
      <c r="W33" s="207"/>
      <c r="X33" s="207"/>
      <c r="Y33" s="207"/>
      <c r="Z33" s="207"/>
      <c r="AA33" s="33"/>
      <c r="AB33" s="206" t="str">
        <f>A33</f>
        <v>LIABILITIES AND SHAREHOLDERS' EQUITY</v>
      </c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585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</row>
    <row r="34" spans="1:129" ht="10.199999999999999">
      <c r="A34" s="102"/>
      <c r="B34" s="118"/>
      <c r="C34" s="118"/>
      <c r="D34" s="118"/>
      <c r="E34" s="118"/>
      <c r="F34" s="118"/>
      <c r="G34" s="118"/>
      <c r="H34" s="93"/>
      <c r="I34" s="93"/>
      <c r="J34" s="93"/>
      <c r="K34" s="93"/>
      <c r="L34" s="93"/>
      <c r="M34" s="93"/>
      <c r="N34" s="93"/>
      <c r="O34" s="93"/>
      <c r="P34" s="93"/>
      <c r="Q34" s="92"/>
      <c r="R34" s="92"/>
      <c r="S34" s="92"/>
      <c r="T34" s="586"/>
      <c r="U34" s="91"/>
      <c r="V34" s="91"/>
      <c r="W34" s="91"/>
      <c r="X34" s="91"/>
      <c r="Y34" s="91"/>
      <c r="Z34" s="91"/>
      <c r="AA34" s="33"/>
      <c r="AB34" s="102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4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</row>
    <row r="35" spans="1:129" ht="10.199999999999999">
      <c r="A35" s="113" t="s">
        <v>194</v>
      </c>
      <c r="B35" s="118"/>
      <c r="C35" s="118"/>
      <c r="D35" s="118"/>
      <c r="E35" s="118"/>
      <c r="F35" s="118"/>
      <c r="G35" s="118"/>
      <c r="H35" s="93">
        <f>BD35</f>
        <v>0</v>
      </c>
      <c r="I35" s="93">
        <f>BH35</f>
        <v>0</v>
      </c>
      <c r="J35" s="93">
        <f>BL35</f>
        <v>0</v>
      </c>
      <c r="K35" s="93">
        <f>BP35</f>
        <v>0</v>
      </c>
      <c r="L35" s="93">
        <f>BT35</f>
        <v>0</v>
      </c>
      <c r="M35" s="93">
        <f>BX35</f>
        <v>0</v>
      </c>
      <c r="N35" s="93">
        <f>CB35</f>
        <v>9543213.798305802</v>
      </c>
      <c r="O35" s="93">
        <f>CF35</f>
        <v>12248801.564532751</v>
      </c>
      <c r="P35" s="93">
        <f>CJ35</f>
        <v>14531084.05771528</v>
      </c>
      <c r="Q35" s="92">
        <f>CN35</f>
        <v>16918596.372805495</v>
      </c>
      <c r="R35" s="92">
        <f>CR35</f>
        <v>18417777.798787899</v>
      </c>
      <c r="S35" s="92">
        <f>CV35</f>
        <v>20574593</v>
      </c>
      <c r="T35" s="586">
        <f>CZ35</f>
        <v>24311350</v>
      </c>
      <c r="U35" s="91">
        <f>DD35</f>
        <v>27211078.455626152</v>
      </c>
      <c r="V35" s="91">
        <f>DH35</f>
        <v>29110105.54518608</v>
      </c>
      <c r="W35" s="91">
        <f>DL35</f>
        <v>31141949.562968533</v>
      </c>
      <c r="X35" s="91">
        <f>DP35</f>
        <v>33315905.394588139</v>
      </c>
      <c r="Y35" s="91">
        <f>DT35</f>
        <v>35641918.52166535</v>
      </c>
      <c r="Z35" s="91">
        <f>DX35</f>
        <v>38130630.562627099</v>
      </c>
      <c r="AA35" s="33"/>
      <c r="AB35" s="113" t="str">
        <f>A35</f>
        <v>Non-interest bearing deposits</v>
      </c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204">
        <v>13318257.919810969</v>
      </c>
      <c r="BZ35" s="204">
        <v>12064973.7738082</v>
      </c>
      <c r="CA35" s="204">
        <v>9984971.0022806805</v>
      </c>
      <c r="CB35" s="204">
        <v>9543213.798305802</v>
      </c>
      <c r="CC35" s="204">
        <v>10853711.332478339</v>
      </c>
      <c r="CD35" s="204">
        <v>11690070.225909304</v>
      </c>
      <c r="CE35" s="204">
        <v>11322710.910416879</v>
      </c>
      <c r="CF35" s="204">
        <v>12248801.564532751</v>
      </c>
      <c r="CG35" s="204">
        <v>13739671.253789917</v>
      </c>
      <c r="CH35" s="204">
        <v>14606144.881272491</v>
      </c>
      <c r="CI35" s="204">
        <v>14155339.175032943</v>
      </c>
      <c r="CJ35" s="204">
        <v>14531084.05771528</v>
      </c>
      <c r="CK35" s="204">
        <v>15578323.283776255</v>
      </c>
      <c r="CL35" s="204">
        <v>15556488.737162992</v>
      </c>
      <c r="CM35" s="204">
        <v>15447486.059043242</v>
      </c>
      <c r="CN35" s="204">
        <v>16918596.372805495</v>
      </c>
      <c r="CO35" s="204">
        <v>17203399.449232139</v>
      </c>
      <c r="CP35" s="204">
        <v>15863730.329135783</v>
      </c>
      <c r="CQ35" s="204">
        <v>17077690.795434542</v>
      </c>
      <c r="CR35" s="204">
        <v>18417777.798787899</v>
      </c>
      <c r="CS35" s="204">
        <v>19288739</v>
      </c>
      <c r="CT35" s="204">
        <v>19669034</v>
      </c>
      <c r="CU35" s="204">
        <v>19182921</v>
      </c>
      <c r="CV35" s="204">
        <v>20574593</v>
      </c>
      <c r="CW35" s="204">
        <v>21498770</v>
      </c>
      <c r="CX35" s="204">
        <v>23707385</v>
      </c>
      <c r="CY35" s="204">
        <v>23240530</v>
      </c>
      <c r="CZ35" s="204">
        <v>24311350</v>
      </c>
      <c r="DA35" s="203">
        <f>(1+Assumptions!DA73)*'Balance Sheet'!CZ35</f>
        <v>25613563.141011208</v>
      </c>
      <c r="DB35" s="203">
        <f>(1+Assumptions!DB73)*'Balance Sheet'!DA35</f>
        <v>26172262.590153899</v>
      </c>
      <c r="DC35" s="203">
        <f>(1+Assumptions!DC73)*'Balance Sheet'!DB35</f>
        <v>26728924.008140981</v>
      </c>
      <c r="DD35" s="203">
        <f>(1+Assumptions!DD73)*'Balance Sheet'!DC35</f>
        <v>27211078.455626152</v>
      </c>
      <c r="DE35" s="203">
        <f>(1+Assumptions!DE73)*'Balance Sheet'!DD35</f>
        <v>27655844.274900638</v>
      </c>
      <c r="DF35" s="203">
        <f>(1+Assumptions!DF73)*'Balance Sheet'!DE35</f>
        <v>28128971.819812536</v>
      </c>
      <c r="DG35" s="203">
        <f>(1+Assumptions!DG73)*'Balance Sheet'!DF35</f>
        <v>28594279.94252298</v>
      </c>
      <c r="DH35" s="203">
        <f>(1+Assumptions!DH73)*'Balance Sheet'!DG35</f>
        <v>29110105.54518608</v>
      </c>
      <c r="DI35" s="203">
        <f>(1+Assumptions!DI73)*'Balance Sheet'!DH35</f>
        <v>29585970.044360947</v>
      </c>
      <c r="DJ35" s="203">
        <f>(1+Assumptions!DJ73)*'Balance Sheet'!DI35</f>
        <v>30092241.052749455</v>
      </c>
      <c r="DK35" s="203">
        <f>(1+Assumptions!DK73)*'Balance Sheet'!DJ35</f>
        <v>30590097.417387974</v>
      </c>
      <c r="DL35" s="203">
        <f>(1+Assumptions!DL73)*'Balance Sheet'!DK35</f>
        <v>31141949.562968533</v>
      </c>
      <c r="DM35" s="203">
        <f>(1+Assumptions!DM73)*'Balance Sheet'!DL35</f>
        <v>31651088.951087814</v>
      </c>
      <c r="DN35" s="203">
        <f>(1+Assumptions!DN73)*'Balance Sheet'!DM35</f>
        <v>32192823.956102964</v>
      </c>
      <c r="DO35" s="203">
        <f>(1+Assumptions!DO73)*'Balance Sheet'!DN35</f>
        <v>32725506.473071277</v>
      </c>
      <c r="DP35" s="203">
        <f>(1+Assumptions!DP73)*'Balance Sheet'!DO35</f>
        <v>33315905.394588139</v>
      </c>
      <c r="DQ35" s="203">
        <f>(1+Assumptions!DQ73)*'Balance Sheet'!DP35</f>
        <v>33860648.201357991</v>
      </c>
      <c r="DR35" s="203">
        <f>(1+Assumptions!DR73)*'Balance Sheet'!DQ35</f>
        <v>34440330.183284439</v>
      </c>
      <c r="DS35" s="203">
        <f>(1+Assumptions!DS73)*'Balance Sheet'!DR35</f>
        <v>35010276.207381733</v>
      </c>
      <c r="DT35" s="203">
        <f>(1+Assumptions!DT73)*'Balance Sheet'!DS35</f>
        <v>35641918.52166535</v>
      </c>
      <c r="DU35" s="203">
        <f>(1+Assumptions!DU73)*'Balance Sheet'!DT35</f>
        <v>36224756.259620965</v>
      </c>
      <c r="DV35" s="203">
        <f>(1+Assumptions!DV73)*'Balance Sheet'!DU35</f>
        <v>36845042.017373696</v>
      </c>
      <c r="DW35" s="203">
        <f>(1+Assumptions!DW73)*'Balance Sheet'!DV35</f>
        <v>37454859.508717835</v>
      </c>
      <c r="DX35" s="203">
        <f>(1+Assumptions!DX73)*'Balance Sheet'!DW35</f>
        <v>38130630.562627099</v>
      </c>
    </row>
    <row r="36" spans="1:129" ht="10.199999999999999">
      <c r="A36" s="113" t="s">
        <v>15</v>
      </c>
      <c r="B36" s="118"/>
      <c r="C36" s="118"/>
      <c r="D36" s="118"/>
      <c r="E36" s="118"/>
      <c r="F36" s="118"/>
      <c r="G36" s="118"/>
      <c r="H36" s="93">
        <f>BD36</f>
        <v>0</v>
      </c>
      <c r="I36" s="93">
        <f>BH36</f>
        <v>0</v>
      </c>
      <c r="J36" s="93">
        <f>BL36</f>
        <v>0</v>
      </c>
      <c r="K36" s="93">
        <f>BP36</f>
        <v>0</v>
      </c>
      <c r="L36" s="93">
        <f>BT36</f>
        <v>0</v>
      </c>
      <c r="M36" s="93">
        <f>BX36</f>
        <v>0</v>
      </c>
      <c r="N36" s="93">
        <f>CB36</f>
        <v>31194178.372656595</v>
      </c>
      <c r="O36" s="93">
        <f>CF36</f>
        <v>38552835.629882984</v>
      </c>
      <c r="P36" s="93">
        <f>CJ36</f>
        <v>36659845.586587362</v>
      </c>
      <c r="Q36" s="92">
        <f>CN36</f>
        <v>44410891.000651494</v>
      </c>
      <c r="R36" s="92">
        <f>CR36</f>
        <v>50013448.505096704</v>
      </c>
      <c r="S36" s="92">
        <f>CV36</f>
        <v>56585901</v>
      </c>
      <c r="T36" s="586">
        <f>CZ36</f>
        <v>66281952</v>
      </c>
      <c r="U36" s="91">
        <f ca="1">DD36</f>
        <v>76976722.573026404</v>
      </c>
      <c r="V36" s="91">
        <f ca="1">DH36</f>
        <v>86092419.45679161</v>
      </c>
      <c r="W36" s="91">
        <f ca="1">DL36</f>
        <v>95189346.428154469</v>
      </c>
      <c r="X36" s="91">
        <f ca="1">DP36</f>
        <v>105555077.64336766</v>
      </c>
      <c r="Y36" s="91">
        <f ca="1">DT36</f>
        <v>118075906.73692155</v>
      </c>
      <c r="Z36" s="91">
        <f ca="1">DX36</f>
        <v>133061756.22388169</v>
      </c>
      <c r="AA36" s="33"/>
      <c r="AB36" s="113" t="str">
        <f>A36</f>
        <v>Interest bearing deposits</v>
      </c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204">
        <v>28810899.806128398</v>
      </c>
      <c r="BZ36" s="204">
        <v>29196224.499897696</v>
      </c>
      <c r="CA36" s="204">
        <v>29445903.380925074</v>
      </c>
      <c r="CB36" s="204">
        <v>31194178.372656595</v>
      </c>
      <c r="CC36" s="204">
        <v>31212008.937098652</v>
      </c>
      <c r="CD36" s="204">
        <v>31426330.121686079</v>
      </c>
      <c r="CE36" s="204">
        <v>35086437.469868936</v>
      </c>
      <c r="CF36" s="204">
        <v>38552835.629882984</v>
      </c>
      <c r="CG36" s="204">
        <v>36953329.700339876</v>
      </c>
      <c r="CH36" s="204">
        <v>36361449.052610412</v>
      </c>
      <c r="CI36" s="204">
        <v>35944150.300094515</v>
      </c>
      <c r="CJ36" s="204">
        <v>36659845.586587362</v>
      </c>
      <c r="CK36" s="204">
        <v>40913281.576660283</v>
      </c>
      <c r="CL36" s="204">
        <v>42454252.622760795</v>
      </c>
      <c r="CM36" s="204">
        <v>41831795.443260118</v>
      </c>
      <c r="CN36" s="204">
        <v>44410891.000651494</v>
      </c>
      <c r="CO36" s="204">
        <v>48307620.030611359</v>
      </c>
      <c r="CP36" s="204">
        <v>49695415.625273593</v>
      </c>
      <c r="CQ36" s="204">
        <v>49768201.66308587</v>
      </c>
      <c r="CR36" s="204">
        <v>50013448.505096704</v>
      </c>
      <c r="CS36" s="204">
        <v>55244794</v>
      </c>
      <c r="CT36" s="204">
        <v>55942026</v>
      </c>
      <c r="CU36" s="204">
        <v>55680694</v>
      </c>
      <c r="CV36" s="204">
        <v>56585901</v>
      </c>
      <c r="CW36" s="204">
        <v>57644133</v>
      </c>
      <c r="CX36" s="204">
        <v>57203238</v>
      </c>
      <c r="CY36" s="204">
        <v>63186177</v>
      </c>
      <c r="CZ36" s="204">
        <v>66281952</v>
      </c>
      <c r="DA36" s="203">
        <f t="shared" ref="DA36:DX36" ca="1" si="36">DA31-DA35-DA39-DA40-DA41-DA43-DA44-DA45-DA47-DA50-DA58</f>
        <v>77610564.652426034</v>
      </c>
      <c r="DB36" s="203">
        <f t="shared" ca="1" si="36"/>
        <v>74000355.497510776</v>
      </c>
      <c r="DC36" s="203">
        <f t="shared" ca="1" si="36"/>
        <v>79041209.127319947</v>
      </c>
      <c r="DD36" s="203">
        <f t="shared" ca="1" si="36"/>
        <v>76976722.573026404</v>
      </c>
      <c r="DE36" s="203">
        <f t="shared" ca="1" si="36"/>
        <v>83354182.010183036</v>
      </c>
      <c r="DF36" s="203">
        <f t="shared" ca="1" si="36"/>
        <v>82049655.727047503</v>
      </c>
      <c r="DG36" s="203">
        <f t="shared" ca="1" si="36"/>
        <v>87568367.079307735</v>
      </c>
      <c r="DH36" s="203">
        <f t="shared" ca="1" si="36"/>
        <v>86092419.45679161</v>
      </c>
      <c r="DI36" s="203">
        <f t="shared" ca="1" si="36"/>
        <v>92136224.349830776</v>
      </c>
      <c r="DJ36" s="203">
        <f t="shared" ca="1" si="36"/>
        <v>91229570.180008888</v>
      </c>
      <c r="DK36" s="203">
        <f t="shared" ca="1" si="36"/>
        <v>96199992.876430809</v>
      </c>
      <c r="DL36" s="203">
        <f t="shared" ca="1" si="36"/>
        <v>95189346.428154469</v>
      </c>
      <c r="DM36" s="203">
        <f t="shared" ca="1" si="36"/>
        <v>101127435.34381363</v>
      </c>
      <c r="DN36" s="203">
        <f t="shared" ca="1" si="36"/>
        <v>100987281.15019667</v>
      </c>
      <c r="DO36" s="203">
        <f t="shared" ca="1" si="36"/>
        <v>105662481.15065724</v>
      </c>
      <c r="DP36" s="203">
        <f t="shared" ca="1" si="36"/>
        <v>105555077.64336765</v>
      </c>
      <c r="DQ36" s="203">
        <f t="shared" ca="1" si="36"/>
        <v>111335337.47426407</v>
      </c>
      <c r="DR36" s="203">
        <f t="shared" ca="1" si="36"/>
        <v>112255698.21027827</v>
      </c>
      <c r="DS36" s="203">
        <f t="shared" ca="1" si="36"/>
        <v>116401056.33878914</v>
      </c>
      <c r="DT36" s="203">
        <f t="shared" ca="1" si="36"/>
        <v>118075906.73692155</v>
      </c>
      <c r="DU36" s="203">
        <f t="shared" ca="1" si="36"/>
        <v>123231286.68671957</v>
      </c>
      <c r="DV36" s="203">
        <f t="shared" ca="1" si="36"/>
        <v>126112804.42287491</v>
      </c>
      <c r="DW36" s="203">
        <f t="shared" ca="1" si="36"/>
        <v>129410673.51302899</v>
      </c>
      <c r="DX36" s="203">
        <f t="shared" ca="1" si="36"/>
        <v>133061756.22388169</v>
      </c>
      <c r="DY36" s="203"/>
    </row>
    <row r="37" spans="1:129" ht="10.199999999999999">
      <c r="A37" s="111" t="s">
        <v>193</v>
      </c>
      <c r="B37" s="107"/>
      <c r="C37" s="107"/>
      <c r="D37" s="107"/>
      <c r="E37" s="107"/>
      <c r="F37" s="107"/>
      <c r="G37" s="107"/>
      <c r="H37" s="183">
        <f t="shared" ref="H37:X37" si="37">H35+H36</f>
        <v>0</v>
      </c>
      <c r="I37" s="183">
        <f t="shared" si="37"/>
        <v>0</v>
      </c>
      <c r="J37" s="183">
        <f t="shared" si="37"/>
        <v>0</v>
      </c>
      <c r="K37" s="183">
        <f t="shared" si="37"/>
        <v>0</v>
      </c>
      <c r="L37" s="183">
        <f t="shared" si="37"/>
        <v>0</v>
      </c>
      <c r="M37" s="183">
        <f t="shared" si="37"/>
        <v>0</v>
      </c>
      <c r="N37" s="183">
        <f t="shared" si="37"/>
        <v>40737392.170962393</v>
      </c>
      <c r="O37" s="183">
        <f t="shared" si="37"/>
        <v>50801637.194415733</v>
      </c>
      <c r="P37" s="183">
        <f t="shared" si="37"/>
        <v>51190929.644302644</v>
      </c>
      <c r="Q37" s="202">
        <f t="shared" si="37"/>
        <v>61329487.373456985</v>
      </c>
      <c r="R37" s="202">
        <f t="shared" si="37"/>
        <v>68431226.303884596</v>
      </c>
      <c r="S37" s="202">
        <f t="shared" si="37"/>
        <v>77160494</v>
      </c>
      <c r="T37" s="587">
        <f t="shared" si="37"/>
        <v>90593302</v>
      </c>
      <c r="U37" s="201">
        <f t="shared" ca="1" si="37"/>
        <v>104187801.02865255</v>
      </c>
      <c r="V37" s="201">
        <f t="shared" ca="1" si="37"/>
        <v>115202525.00197768</v>
      </c>
      <c r="W37" s="201">
        <f t="shared" ca="1" si="37"/>
        <v>126331295.99112301</v>
      </c>
      <c r="X37" s="201">
        <f t="shared" ca="1" si="37"/>
        <v>138870983.03795579</v>
      </c>
      <c r="Y37" s="201">
        <f t="shared" ref="Y37:Z37" ca="1" si="38">Y35+Y36</f>
        <v>153717825.25858688</v>
      </c>
      <c r="Z37" s="201">
        <f t="shared" ca="1" si="38"/>
        <v>171192386.7865088</v>
      </c>
      <c r="AA37" s="33"/>
      <c r="AB37" s="111" t="str">
        <f>A37</f>
        <v>Total deposits and obligations</v>
      </c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83">
        <f t="shared" ref="BY37:CQ37" si="39">BY35+BY36</f>
        <v>42129157.725939363</v>
      </c>
      <c r="BZ37" s="183">
        <f t="shared" si="39"/>
        <v>41261198.2737059</v>
      </c>
      <c r="CA37" s="183">
        <f t="shared" si="39"/>
        <v>39430874.383205757</v>
      </c>
      <c r="CB37" s="183">
        <f t="shared" si="39"/>
        <v>40737392.170962393</v>
      </c>
      <c r="CC37" s="183">
        <f t="shared" si="39"/>
        <v>42065720.269576989</v>
      </c>
      <c r="CD37" s="183">
        <f t="shared" si="39"/>
        <v>43116400.347595379</v>
      </c>
      <c r="CE37" s="183">
        <f t="shared" si="39"/>
        <v>46409148.380285814</v>
      </c>
      <c r="CF37" s="183">
        <f t="shared" si="39"/>
        <v>50801637.194415733</v>
      </c>
      <c r="CG37" s="183">
        <f t="shared" si="39"/>
        <v>50693000.954129793</v>
      </c>
      <c r="CH37" s="183">
        <f t="shared" si="39"/>
        <v>50967593.933882907</v>
      </c>
      <c r="CI37" s="183">
        <f t="shared" si="39"/>
        <v>50099489.475127459</v>
      </c>
      <c r="CJ37" s="183">
        <f t="shared" si="39"/>
        <v>51190929.644302644</v>
      </c>
      <c r="CK37" s="183">
        <f t="shared" si="39"/>
        <v>56491604.860436536</v>
      </c>
      <c r="CL37" s="183">
        <f t="shared" si="39"/>
        <v>58010741.359923787</v>
      </c>
      <c r="CM37" s="183">
        <f t="shared" si="39"/>
        <v>57279281.502303362</v>
      </c>
      <c r="CN37" s="183">
        <f t="shared" si="39"/>
        <v>61329487.373456985</v>
      </c>
      <c r="CO37" s="183">
        <f t="shared" si="39"/>
        <v>65511019.479843497</v>
      </c>
      <c r="CP37" s="183">
        <f t="shared" si="39"/>
        <v>65559145.954409376</v>
      </c>
      <c r="CQ37" s="183">
        <f t="shared" si="39"/>
        <v>66845892.458520412</v>
      </c>
      <c r="CR37" s="183">
        <f t="shared" ref="CR37" si="40">CR35+CR36</f>
        <v>68431226.303884596</v>
      </c>
      <c r="CS37" s="183">
        <f t="shared" ref="CS37:CT37" si="41">CS35+CS36</f>
        <v>74533533</v>
      </c>
      <c r="CT37" s="183">
        <f t="shared" si="41"/>
        <v>75611060</v>
      </c>
      <c r="CU37" s="183">
        <f t="shared" ref="CU37:CV37" si="42">CU35+CU36</f>
        <v>74863615</v>
      </c>
      <c r="CV37" s="183">
        <f t="shared" si="42"/>
        <v>77160494</v>
      </c>
      <c r="CW37" s="183">
        <f t="shared" ref="CW37:CX37" si="43">CW35+CW36</f>
        <v>79142903</v>
      </c>
      <c r="CX37" s="587">
        <f t="shared" si="43"/>
        <v>80910623</v>
      </c>
      <c r="CY37" s="587">
        <f t="shared" ref="CY37:CZ37" si="44">CY35+CY36</f>
        <v>86426707</v>
      </c>
      <c r="CZ37" s="587">
        <f t="shared" si="44"/>
        <v>90593302</v>
      </c>
      <c r="DA37" s="200">
        <f t="shared" ref="DA37:DP37" ca="1" si="45">DA35+DA36</f>
        <v>103224127.79343724</v>
      </c>
      <c r="DB37" s="200">
        <f t="shared" ca="1" si="45"/>
        <v>100172618.08766468</v>
      </c>
      <c r="DC37" s="200">
        <f t="shared" ca="1" si="45"/>
        <v>105770133.13546093</v>
      </c>
      <c r="DD37" s="200">
        <f t="shared" ca="1" si="45"/>
        <v>104187801.02865255</v>
      </c>
      <c r="DE37" s="200">
        <f t="shared" ca="1" si="45"/>
        <v>111010026.28508368</v>
      </c>
      <c r="DF37" s="200">
        <f t="shared" ca="1" si="45"/>
        <v>110178627.54686004</v>
      </c>
      <c r="DG37" s="200">
        <f t="shared" ca="1" si="45"/>
        <v>116162647.02183071</v>
      </c>
      <c r="DH37" s="200">
        <f t="shared" ca="1" si="45"/>
        <v>115202525.00197768</v>
      </c>
      <c r="DI37" s="200">
        <f t="shared" ca="1" si="45"/>
        <v>121722194.39419173</v>
      </c>
      <c r="DJ37" s="200">
        <f t="shared" ca="1" si="45"/>
        <v>121321811.23275834</v>
      </c>
      <c r="DK37" s="200">
        <f t="shared" ca="1" si="45"/>
        <v>126790090.29381879</v>
      </c>
      <c r="DL37" s="200">
        <f t="shared" ca="1" si="45"/>
        <v>126331295.99112301</v>
      </c>
      <c r="DM37" s="200">
        <f t="shared" ca="1" si="45"/>
        <v>132778524.29490145</v>
      </c>
      <c r="DN37" s="200">
        <f t="shared" ca="1" si="45"/>
        <v>133180105.10629964</v>
      </c>
      <c r="DO37" s="200">
        <f t="shared" ca="1" si="45"/>
        <v>138387987.62372851</v>
      </c>
      <c r="DP37" s="200">
        <f t="shared" ca="1" si="45"/>
        <v>138870983.03795579</v>
      </c>
      <c r="DQ37" s="200">
        <f t="shared" ref="DQ37:DT37" ca="1" si="46">DQ35+DQ36</f>
        <v>145195985.67562205</v>
      </c>
      <c r="DR37" s="200">
        <f t="shared" ca="1" si="46"/>
        <v>146696028.3935627</v>
      </c>
      <c r="DS37" s="200">
        <f t="shared" ca="1" si="46"/>
        <v>151411332.54617086</v>
      </c>
      <c r="DT37" s="200">
        <f t="shared" ca="1" si="46"/>
        <v>153717825.25858688</v>
      </c>
      <c r="DU37" s="200">
        <f t="shared" ref="DU37:DX37" ca="1" si="47">DU35+DU36</f>
        <v>159456042.94634053</v>
      </c>
      <c r="DV37" s="200">
        <f t="shared" ca="1" si="47"/>
        <v>162957846.44024861</v>
      </c>
      <c r="DW37" s="200">
        <f t="shared" ca="1" si="47"/>
        <v>166865533.02174681</v>
      </c>
      <c r="DX37" s="200">
        <f t="shared" ca="1" si="47"/>
        <v>171192386.7865088</v>
      </c>
    </row>
    <row r="38" spans="1:129" ht="10.199999999999999">
      <c r="A38" s="102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122"/>
      <c r="R38" s="122"/>
      <c r="S38" s="122"/>
      <c r="T38" s="585"/>
      <c r="U38" s="121"/>
      <c r="V38" s="121"/>
      <c r="W38" s="121"/>
      <c r="X38" s="121"/>
      <c r="Y38" s="121"/>
      <c r="Z38" s="121"/>
      <c r="AA38" s="33"/>
      <c r="AB38" s="102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7"/>
      <c r="BS38" s="97"/>
      <c r="BT38" s="97"/>
      <c r="BU38" s="97"/>
      <c r="BV38" s="97"/>
      <c r="BW38" s="97"/>
      <c r="BX38" s="97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585"/>
      <c r="CY38" s="585"/>
      <c r="CZ38" s="585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</row>
    <row r="39" spans="1:129" s="205" customFormat="1" ht="10.199999999999999">
      <c r="A39" s="113" t="s">
        <v>14</v>
      </c>
      <c r="B39" s="118"/>
      <c r="C39" s="118"/>
      <c r="D39" s="118"/>
      <c r="E39" s="118"/>
      <c r="F39" s="118"/>
      <c r="G39" s="118"/>
      <c r="H39" s="93">
        <f>BD39</f>
        <v>0</v>
      </c>
      <c r="I39" s="93">
        <f>BH39</f>
        <v>0</v>
      </c>
      <c r="J39" s="93">
        <f>BL39</f>
        <v>0</v>
      </c>
      <c r="K39" s="93">
        <f>BP39</f>
        <v>0</v>
      </c>
      <c r="L39" s="93">
        <f>BT39</f>
        <v>0</v>
      </c>
      <c r="M39" s="93">
        <f>BX39</f>
        <v>0</v>
      </c>
      <c r="N39" s="93">
        <f>CB39</f>
        <v>6547736.6417369004</v>
      </c>
      <c r="O39" s="93">
        <f>CF39</f>
        <v>6355212.0674600713</v>
      </c>
      <c r="P39" s="93">
        <f>CJ39</f>
        <v>5573396.1172778402</v>
      </c>
      <c r="Q39" s="92">
        <f>CN39</f>
        <v>8899609.9497270007</v>
      </c>
      <c r="R39" s="92">
        <f>CR39</f>
        <v>9915747.0616873484</v>
      </c>
      <c r="S39" s="92">
        <f>CV39</f>
        <v>16141403</v>
      </c>
      <c r="T39" s="586">
        <f>CZ39</f>
        <v>19000357</v>
      </c>
      <c r="U39" s="91">
        <f>DD39</f>
        <v>22666385.823384538</v>
      </c>
      <c r="V39" s="91">
        <f>DH39</f>
        <v>23340703.237163711</v>
      </c>
      <c r="W39" s="91">
        <f>DL39</f>
        <v>24040924.334278613</v>
      </c>
      <c r="X39" s="91">
        <f>DP39</f>
        <v>24762152.064306963</v>
      </c>
      <c r="Y39" s="91">
        <f>DT39</f>
        <v>25505016.626236167</v>
      </c>
      <c r="Z39" s="91">
        <f>DX39</f>
        <v>26270167.125023246</v>
      </c>
      <c r="AB39" s="113" t="str">
        <f>A39</f>
        <v>Due to banks and correspondents</v>
      </c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  <c r="BS39" s="118"/>
      <c r="BT39" s="118"/>
      <c r="BU39" s="118"/>
      <c r="BV39" s="118"/>
      <c r="BW39" s="118"/>
      <c r="BX39" s="118"/>
      <c r="BY39" s="204">
        <v>8749863.1707556713</v>
      </c>
      <c r="BZ39" s="204">
        <v>5950128.5927789994</v>
      </c>
      <c r="CA39" s="204">
        <v>4940803.5408191588</v>
      </c>
      <c r="CB39" s="204">
        <v>6547736.6417369004</v>
      </c>
      <c r="CC39" s="204">
        <v>4236519.5834647501</v>
      </c>
      <c r="CD39" s="204">
        <v>4536203.8148749806</v>
      </c>
      <c r="CE39" s="204">
        <v>4793304.3053204706</v>
      </c>
      <c r="CF39" s="204">
        <v>6355212.0674600713</v>
      </c>
      <c r="CG39" s="204">
        <v>6246821.3717263183</v>
      </c>
      <c r="CH39" s="204">
        <v>6076600.4116283394</v>
      </c>
      <c r="CI39" s="204">
        <v>6228363.6557182595</v>
      </c>
      <c r="CJ39" s="204">
        <v>5573396.1172778402</v>
      </c>
      <c r="CK39" s="204">
        <v>6704870.5160639994</v>
      </c>
      <c r="CL39" s="204">
        <v>6727567.6451546587</v>
      </c>
      <c r="CM39" s="204">
        <v>7360191.6559071606</v>
      </c>
      <c r="CN39" s="204">
        <v>8899609.9497270007</v>
      </c>
      <c r="CO39" s="204">
        <v>9798526.9555608612</v>
      </c>
      <c r="CP39" s="204">
        <v>8825236.2802934218</v>
      </c>
      <c r="CQ39" s="204">
        <v>8449042.2236475796</v>
      </c>
      <c r="CR39" s="204">
        <v>9915747.0616873484</v>
      </c>
      <c r="CS39" s="204">
        <v>10596684</v>
      </c>
      <c r="CT39" s="204">
        <v>11659253</v>
      </c>
      <c r="CU39" s="204">
        <v>16107331</v>
      </c>
      <c r="CV39" s="204">
        <v>16141403</v>
      </c>
      <c r="CW39" s="204">
        <f>9936209+7956780</f>
        <v>17892989</v>
      </c>
      <c r="CX39" s="204">
        <f>9180228+10012756</f>
        <v>19192984</v>
      </c>
      <c r="CY39" s="204">
        <f>9737111+11863340</f>
        <v>21600451</v>
      </c>
      <c r="CZ39" s="204">
        <f>10612840+8387517</f>
        <v>19000357</v>
      </c>
      <c r="DA39" s="203">
        <f>(1+Assumptions!DA75)*'Balance Sheet'!CZ39</f>
        <v>20900392.700000003</v>
      </c>
      <c r="DB39" s="203">
        <f>(1+Assumptions!DB75)*'Balance Sheet'!DA39</f>
        <v>21945412.335000005</v>
      </c>
      <c r="DC39" s="203">
        <f>(1+Assumptions!DC75)*'Balance Sheet'!DB39</f>
        <v>22494047.643375002</v>
      </c>
      <c r="DD39" s="203">
        <f>(1+Assumptions!DD75)*'Balance Sheet'!DC39</f>
        <v>22666385.823384538</v>
      </c>
      <c r="DE39" s="203">
        <f>(1+Assumptions!DE75)*'Balance Sheet'!DD39</f>
        <v>22840044.372620631</v>
      </c>
      <c r="DF39" s="203">
        <f>(1+Assumptions!DF75)*'Balance Sheet'!DE39</f>
        <v>23003863.768567152</v>
      </c>
      <c r="DG39" s="203">
        <f>(1+Assumptions!DG75)*'Balance Sheet'!DF39</f>
        <v>23168858.15323307</v>
      </c>
      <c r="DH39" s="203">
        <f>(1+Assumptions!DH75)*'Balance Sheet'!DG39</f>
        <v>23340703.237163711</v>
      </c>
      <c r="DI39" s="203">
        <f>(1+Assumptions!DI75)*'Balance Sheet'!DH39</f>
        <v>23513822.908416517</v>
      </c>
      <c r="DJ39" s="203">
        <f>(1+Assumptions!DJ75)*'Balance Sheet'!DI39</f>
        <v>23688226.620697141</v>
      </c>
      <c r="DK39" s="203">
        <f>(1+Assumptions!DK75)*'Balance Sheet'!DJ39</f>
        <v>23863923.897830054</v>
      </c>
      <c r="DL39" s="203">
        <f>(1+Assumptions!DL75)*'Balance Sheet'!DK39</f>
        <v>24040924.334278613</v>
      </c>
      <c r="DM39" s="203">
        <f>(1+Assumptions!DM75)*'Balance Sheet'!DL39</f>
        <v>24219237.595669001</v>
      </c>
      <c r="DN39" s="203">
        <f>(1+Assumptions!DN75)*'Balance Sheet'!DM39</f>
        <v>24398873.419318046</v>
      </c>
      <c r="DO39" s="203">
        <f>(1+Assumptions!DO75)*'Balance Sheet'!DN39</f>
        <v>24579841.614764947</v>
      </c>
      <c r="DP39" s="203">
        <f>(1+Assumptions!DP75)*'Balance Sheet'!DO39</f>
        <v>24762152.064306963</v>
      </c>
      <c r="DQ39" s="203">
        <f>(1+Assumptions!DQ75)*'Balance Sheet'!DP39</f>
        <v>24945814.723539066</v>
      </c>
      <c r="DR39" s="203">
        <f>(1+Assumptions!DR75)*'Balance Sheet'!DQ39</f>
        <v>25130839.621897582</v>
      </c>
      <c r="DS39" s="203">
        <f>(1+Assumptions!DS75)*'Balance Sheet'!DR39</f>
        <v>25317236.863207888</v>
      </c>
      <c r="DT39" s="203">
        <f>(1+Assumptions!DT75)*'Balance Sheet'!DS39</f>
        <v>25505016.626236167</v>
      </c>
      <c r="DU39" s="203">
        <f>(1+Assumptions!DU75)*'Balance Sheet'!DT39</f>
        <v>25694189.165245231</v>
      </c>
      <c r="DV39" s="203">
        <f>(1+Assumptions!DV75)*'Balance Sheet'!DU39</f>
        <v>25884764.810554501</v>
      </c>
      <c r="DW39" s="203">
        <f>(1+Assumptions!DW75)*'Balance Sheet'!DV39</f>
        <v>26076753.969104119</v>
      </c>
      <c r="DX39" s="203">
        <f>(1+Assumptions!DX75)*'Balance Sheet'!DW39</f>
        <v>26270167.125023246</v>
      </c>
    </row>
    <row r="40" spans="1:129" ht="10.199999999999999">
      <c r="A40" s="113" t="s">
        <v>13</v>
      </c>
      <c r="B40" s="118"/>
      <c r="C40" s="118"/>
      <c r="D40" s="118"/>
      <c r="E40" s="118"/>
      <c r="F40" s="118"/>
      <c r="G40" s="118"/>
      <c r="H40" s="93">
        <f>BD40</f>
        <v>0</v>
      </c>
      <c r="I40" s="93">
        <f>BH40</f>
        <v>0</v>
      </c>
      <c r="J40" s="93">
        <f>BL40</f>
        <v>0</v>
      </c>
      <c r="K40" s="93">
        <f>BP40</f>
        <v>0</v>
      </c>
      <c r="L40" s="93">
        <f>BT40</f>
        <v>0</v>
      </c>
      <c r="M40" s="93">
        <f>BX40</f>
        <v>0</v>
      </c>
      <c r="N40" s="93">
        <f>CB40</f>
        <v>278661.59149780002</v>
      </c>
      <c r="O40" s="93">
        <f>CF40</f>
        <v>197559.86380370997</v>
      </c>
      <c r="P40" s="93">
        <f>CJ40</f>
        <v>166330.52588832</v>
      </c>
      <c r="Q40" s="92">
        <f>CN40</f>
        <v>256959.4872945</v>
      </c>
      <c r="R40" s="92">
        <f>CR40</f>
        <v>189186.95698630001</v>
      </c>
      <c r="S40" s="92">
        <f>CV40</f>
        <v>167654</v>
      </c>
      <c r="T40" s="586">
        <f>CZ40</f>
        <v>222496</v>
      </c>
      <c r="U40" s="91">
        <f>DD40</f>
        <v>229747.16450660612</v>
      </c>
      <c r="V40" s="91">
        <f>DH40</f>
        <v>236582.06597701879</v>
      </c>
      <c r="W40" s="91">
        <f>DL40</f>
        <v>243679.52795632929</v>
      </c>
      <c r="X40" s="91">
        <f>DP40</f>
        <v>250989.91379501909</v>
      </c>
      <c r="Y40" s="91">
        <f>DT40</f>
        <v>258519.61120886961</v>
      </c>
      <c r="Z40" s="91">
        <f>DX40</f>
        <v>266275.19954513566</v>
      </c>
      <c r="AA40" s="33"/>
      <c r="AB40" s="113" t="str">
        <f>A40</f>
        <v>Acceptances outstanding</v>
      </c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  <c r="BS40" s="118"/>
      <c r="BT40" s="118"/>
      <c r="BU40" s="118"/>
      <c r="BV40" s="118"/>
      <c r="BW40" s="118"/>
      <c r="BX40" s="118"/>
      <c r="BY40" s="204">
        <v>640301.43519585999</v>
      </c>
      <c r="BZ40" s="204">
        <v>479813.64329009998</v>
      </c>
      <c r="CA40" s="204">
        <v>184289.07525252001</v>
      </c>
      <c r="CB40" s="204">
        <v>278661.59149780002</v>
      </c>
      <c r="CC40" s="204">
        <v>223855.26171870003</v>
      </c>
      <c r="CD40" s="204">
        <v>179029.10846645999</v>
      </c>
      <c r="CE40" s="204">
        <v>161371.05333651</v>
      </c>
      <c r="CF40" s="204">
        <v>197559.86380370997</v>
      </c>
      <c r="CG40" s="204">
        <v>150599.50080052001</v>
      </c>
      <c r="CH40" s="204">
        <v>179839.61865094001</v>
      </c>
      <c r="CI40" s="204">
        <v>233556.72697932998</v>
      </c>
      <c r="CJ40" s="204">
        <v>166330.52588832</v>
      </c>
      <c r="CK40" s="204">
        <v>153369.28985846997</v>
      </c>
      <c r="CL40" s="204">
        <v>177158.59382451</v>
      </c>
      <c r="CM40" s="204">
        <v>128315.80493969998</v>
      </c>
      <c r="CN40" s="204">
        <v>256959.4872945</v>
      </c>
      <c r="CO40" s="204">
        <v>134047.68678270001</v>
      </c>
      <c r="CP40" s="204">
        <v>139830.93636485998</v>
      </c>
      <c r="CQ40" s="204">
        <v>179729.78401534</v>
      </c>
      <c r="CR40" s="204">
        <v>189186.95698630001</v>
      </c>
      <c r="CS40" s="204">
        <v>135841</v>
      </c>
      <c r="CT40" s="204">
        <v>152901</v>
      </c>
      <c r="CU40" s="204">
        <v>175687</v>
      </c>
      <c r="CV40" s="204">
        <v>167654</v>
      </c>
      <c r="CW40" s="204">
        <v>169480</v>
      </c>
      <c r="CX40" s="204">
        <v>151952</v>
      </c>
      <c r="CY40" s="204">
        <v>201357</v>
      </c>
      <c r="CZ40" s="204">
        <v>222496</v>
      </c>
      <c r="DA40" s="203">
        <f>Assumptions!DA76*'Balance Sheet'!DA15</f>
        <v>224329.00744117482</v>
      </c>
      <c r="DB40" s="203">
        <f>Assumptions!DB76*'Balance Sheet'!DB15</f>
        <v>226211.96353832327</v>
      </c>
      <c r="DC40" s="203">
        <f>Assumptions!DC76*'Balance Sheet'!DC15</f>
        <v>228000.33956054121</v>
      </c>
      <c r="DD40" s="203">
        <f>Assumptions!DD76*'Balance Sheet'!DD15</f>
        <v>229747.16450660612</v>
      </c>
      <c r="DE40" s="203">
        <f>Assumptions!DE76*'Balance Sheet'!DE15</f>
        <v>231507.37275463485</v>
      </c>
      <c r="DF40" s="203">
        <f>Assumptions!DF76*'Balance Sheet'!DF15</f>
        <v>233167.85105069689</v>
      </c>
      <c r="DG40" s="203">
        <f>Assumptions!DG76*'Balance Sheet'!DG15</f>
        <v>234840.23906755479</v>
      </c>
      <c r="DH40" s="203">
        <f>Assumptions!DH76*'Balance Sheet'!DH15</f>
        <v>236582.06597701879</v>
      </c>
      <c r="DI40" s="203">
        <f>Assumptions!DI76*'Balance Sheet'!DI15</f>
        <v>238336.81214169468</v>
      </c>
      <c r="DJ40" s="203">
        <f>Assumptions!DJ76*'Balance Sheet'!DJ15</f>
        <v>240104.57338462566</v>
      </c>
      <c r="DK40" s="203">
        <f>Assumptions!DK76*'Balance Sheet'!DK15</f>
        <v>241885.44623958136</v>
      </c>
      <c r="DL40" s="203">
        <f>Assumptions!DL76*'Balance Sheet'!DL15</f>
        <v>243679.52795632929</v>
      </c>
      <c r="DM40" s="203">
        <f>Assumptions!DM76*'Balance Sheet'!DM15</f>
        <v>245486.91650594544</v>
      </c>
      <c r="DN40" s="203">
        <f>Assumptions!DN76*'Balance Sheet'!DN15</f>
        <v>247307.71058616435</v>
      </c>
      <c r="DO40" s="203">
        <f>Assumptions!DO76*'Balance Sheet'!DO15</f>
        <v>249142.00962676873</v>
      </c>
      <c r="DP40" s="203">
        <f>Assumptions!DP76*'Balance Sheet'!DP15</f>
        <v>250989.91379501909</v>
      </c>
      <c r="DQ40" s="203">
        <f>Assumptions!DQ76*'Balance Sheet'!DQ15</f>
        <v>252851.52400112373</v>
      </c>
      <c r="DR40" s="203">
        <f>Assumptions!DR76*'Balance Sheet'!DR15</f>
        <v>254726.94190374922</v>
      </c>
      <c r="DS40" s="203">
        <f>Assumptions!DS76*'Balance Sheet'!DS15</f>
        <v>256616.26991557173</v>
      </c>
      <c r="DT40" s="203">
        <f>Assumptions!DT76*'Balance Sheet'!DT15</f>
        <v>258519.61120886961</v>
      </c>
      <c r="DU40" s="203">
        <f>Assumptions!DU76*'Balance Sheet'!DU15</f>
        <v>260437.0697211574</v>
      </c>
      <c r="DV40" s="203">
        <f>Assumptions!DV76*'Balance Sheet'!DV15</f>
        <v>262368.75016086164</v>
      </c>
      <c r="DW40" s="203">
        <f>Assumptions!DW76*'Balance Sheet'!DW15</f>
        <v>264314.75801303884</v>
      </c>
      <c r="DX40" s="203">
        <f>Assumptions!DX76*'Balance Sheet'!DX15</f>
        <v>266275.19954513566</v>
      </c>
    </row>
    <row r="41" spans="1:129" s="205" customFormat="1" ht="10.199999999999999">
      <c r="A41" s="113" t="s">
        <v>12</v>
      </c>
      <c r="B41" s="118"/>
      <c r="C41" s="118"/>
      <c r="D41" s="118"/>
      <c r="E41" s="118"/>
      <c r="F41" s="118"/>
      <c r="G41" s="118"/>
      <c r="H41" s="93">
        <f>BD41</f>
        <v>0</v>
      </c>
      <c r="I41" s="93">
        <f>BH41</f>
        <v>0</v>
      </c>
      <c r="J41" s="93">
        <f>BL41</f>
        <v>0</v>
      </c>
      <c r="K41" s="93">
        <f>BP41</f>
        <v>0</v>
      </c>
      <c r="L41" s="93">
        <f>BT41</f>
        <v>0</v>
      </c>
      <c r="M41" s="93">
        <f>BX41</f>
        <v>0</v>
      </c>
      <c r="N41" s="93">
        <f>CB41</f>
        <v>3718624.1207256005</v>
      </c>
      <c r="O41" s="93">
        <f>CF41</f>
        <v>8386269.232892192</v>
      </c>
      <c r="P41" s="93">
        <f>CJ41</f>
        <v>10682377.183618961</v>
      </c>
      <c r="Q41" s="92">
        <f>CN41</f>
        <v>12280398.598048499</v>
      </c>
      <c r="R41" s="92">
        <f>CR41</f>
        <v>14271117.394201851</v>
      </c>
      <c r="S41" s="92">
        <f>CV41</f>
        <v>15096612</v>
      </c>
      <c r="T41" s="586">
        <f>CZ41</f>
        <v>16305819</v>
      </c>
      <c r="U41" s="91">
        <f>DD41</f>
        <v>16837227.097152054</v>
      </c>
      <c r="V41" s="91">
        <f>DH41</f>
        <v>17338128.984194439</v>
      </c>
      <c r="W41" s="91">
        <f>DL41</f>
        <v>17858272.853720266</v>
      </c>
      <c r="X41" s="91">
        <f>DP41</f>
        <v>18394021.039331868</v>
      </c>
      <c r="Y41" s="91">
        <f>DT41</f>
        <v>18945841.670511816</v>
      </c>
      <c r="Z41" s="91">
        <f>DX41</f>
        <v>19514216.920627162</v>
      </c>
      <c r="AB41" s="113" t="str">
        <f>A41</f>
        <v>Bonds and subordinated debt</v>
      </c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  <c r="BS41" s="118"/>
      <c r="BT41" s="118"/>
      <c r="BU41" s="118"/>
      <c r="BV41" s="118"/>
      <c r="BW41" s="118"/>
      <c r="BX41" s="118"/>
      <c r="BY41" s="204">
        <v>2740518.5940633998</v>
      </c>
      <c r="BZ41" s="204">
        <v>2722054.3350839997</v>
      </c>
      <c r="CA41" s="204">
        <v>2639123.7355128797</v>
      </c>
      <c r="CB41" s="204">
        <v>3718624.1207256005</v>
      </c>
      <c r="CC41" s="204">
        <v>6665157.3938935203</v>
      </c>
      <c r="CD41" s="204">
        <v>6477418.1184335994</v>
      </c>
      <c r="CE41" s="204">
        <v>8548829.1466507502</v>
      </c>
      <c r="CF41" s="204">
        <v>8386269.232892192</v>
      </c>
      <c r="CG41" s="204">
        <v>10325226.571662599</v>
      </c>
      <c r="CH41" s="204">
        <v>9753155.0876573995</v>
      </c>
      <c r="CI41" s="204">
        <v>10530219.17884828</v>
      </c>
      <c r="CJ41" s="204">
        <v>10682377.183618961</v>
      </c>
      <c r="CK41" s="204">
        <v>10428852.399139438</v>
      </c>
      <c r="CL41" s="204">
        <v>11324924.083888579</v>
      </c>
      <c r="CM41" s="204">
        <v>12160535.968310097</v>
      </c>
      <c r="CN41" s="204">
        <v>12280398.598048499</v>
      </c>
      <c r="CO41" s="204">
        <v>12276937.645207891</v>
      </c>
      <c r="CP41" s="204">
        <v>14513214.87007782</v>
      </c>
      <c r="CQ41" s="204">
        <v>14364703.514778759</v>
      </c>
      <c r="CR41" s="204">
        <v>14271117.394201851</v>
      </c>
      <c r="CS41" s="204">
        <v>15075214</v>
      </c>
      <c r="CT41" s="204">
        <v>14910646</v>
      </c>
      <c r="CU41" s="204">
        <v>15229395</v>
      </c>
      <c r="CV41" s="204">
        <v>15096612</v>
      </c>
      <c r="CW41" s="204">
        <v>15560444</v>
      </c>
      <c r="CX41" s="204">
        <v>15601653</v>
      </c>
      <c r="CY41" s="204">
        <v>16016573</v>
      </c>
      <c r="CZ41" s="204">
        <v>16305819</v>
      </c>
      <c r="DA41" s="203">
        <f>(1+Assumptions!DA77)*'Balance Sheet'!CZ41</f>
        <v>16440152.595037438</v>
      </c>
      <c r="DB41" s="203">
        <f>(1+Assumptions!DB77)*'Balance Sheet'!DA41</f>
        <v>16578146.722145559</v>
      </c>
      <c r="DC41" s="203">
        <f>(1+Assumptions!DC77)*'Balance Sheet'!DB41</f>
        <v>16709209.463598106</v>
      </c>
      <c r="DD41" s="203">
        <f>(1+Assumptions!DD77)*'Balance Sheet'!DC41</f>
        <v>16837227.097152054</v>
      </c>
      <c r="DE41" s="203">
        <f>(1+Assumptions!DE77)*'Balance Sheet'!DD41</f>
        <v>16966225.537998918</v>
      </c>
      <c r="DF41" s="203">
        <f>(1+Assumptions!DF77)*'Balance Sheet'!DE41</f>
        <v>17087915.179830752</v>
      </c>
      <c r="DG41" s="203">
        <f>(1+Assumptions!DG77)*'Balance Sheet'!DF41</f>
        <v>17210477.636237402</v>
      </c>
      <c r="DH41" s="203">
        <f>(1+Assumptions!DH77)*'Balance Sheet'!DG41</f>
        <v>17338128.984194439</v>
      </c>
      <c r="DI41" s="203">
        <f>(1+Assumptions!DI77)*'Balance Sheet'!DH41</f>
        <v>17466727.131361801</v>
      </c>
      <c r="DJ41" s="203">
        <f>(1+Assumptions!DJ77)*'Balance Sheet'!DI41</f>
        <v>17596279.100217186</v>
      </c>
      <c r="DK41" s="203">
        <f>(1+Assumptions!DK77)*'Balance Sheet'!DJ41</f>
        <v>17726791.965324517</v>
      </c>
      <c r="DL41" s="203">
        <f>(1+Assumptions!DL77)*'Balance Sheet'!DK41</f>
        <v>17858272.853720266</v>
      </c>
      <c r="DM41" s="203">
        <f>(1+Assumptions!DM77)*'Balance Sheet'!DL41</f>
        <v>17990728.945302647</v>
      </c>
      <c r="DN41" s="203">
        <f>(1+Assumptions!DN77)*'Balance Sheet'!DM41</f>
        <v>18124167.473223694</v>
      </c>
      <c r="DO41" s="203">
        <f>(1+Assumptions!DO77)*'Balance Sheet'!DN41</f>
        <v>18258595.724284247</v>
      </c>
      <c r="DP41" s="203">
        <f>(1+Assumptions!DP77)*'Balance Sheet'!DO41</f>
        <v>18394021.039331868</v>
      </c>
      <c r="DQ41" s="203">
        <f>(1+Assumptions!DQ77)*'Balance Sheet'!DP41</f>
        <v>18530450.813661721</v>
      </c>
      <c r="DR41" s="203">
        <f>(1+Assumptions!DR77)*'Balance Sheet'!DQ41</f>
        <v>18667892.497420397</v>
      </c>
      <c r="DS41" s="203">
        <f>(1+Assumptions!DS77)*'Balance Sheet'!DR41</f>
        <v>18806353.596012764</v>
      </c>
      <c r="DT41" s="203">
        <f>(1+Assumptions!DT77)*'Balance Sheet'!DS41</f>
        <v>18945841.670511816</v>
      </c>
      <c r="DU41" s="203">
        <f>(1+Assumptions!DU77)*'Balance Sheet'!DT41</f>
        <v>19086364.338071566</v>
      </c>
      <c r="DV41" s="203">
        <f>(1+Assumptions!DV77)*'Balance Sheet'!DU41</f>
        <v>19227929.272343002</v>
      </c>
      <c r="DW41" s="203">
        <f>(1+Assumptions!DW77)*'Balance Sheet'!DV41</f>
        <v>19370544.20389314</v>
      </c>
      <c r="DX41" s="203">
        <f>(1+Assumptions!DX77)*'Balance Sheet'!DW41</f>
        <v>19514216.920627162</v>
      </c>
    </row>
    <row r="42" spans="1:129" ht="10.199999999999999">
      <c r="A42" s="113"/>
      <c r="B42" s="118"/>
      <c r="C42" s="118"/>
      <c r="D42" s="118"/>
      <c r="E42" s="118"/>
      <c r="F42" s="118"/>
      <c r="G42" s="118"/>
      <c r="H42" s="93"/>
      <c r="I42" s="93"/>
      <c r="J42" s="93"/>
      <c r="K42" s="93"/>
      <c r="L42" s="93"/>
      <c r="M42" s="93"/>
      <c r="N42" s="93"/>
      <c r="O42" s="93"/>
      <c r="P42" s="93"/>
      <c r="Q42" s="92"/>
      <c r="R42" s="92"/>
      <c r="S42" s="92"/>
      <c r="T42" s="586"/>
      <c r="U42" s="91"/>
      <c r="V42" s="91"/>
      <c r="W42" s="91"/>
      <c r="X42" s="91"/>
      <c r="Y42" s="91"/>
      <c r="Z42" s="91"/>
      <c r="AA42" s="33"/>
      <c r="AB42" s="113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  <c r="CL42" s="203"/>
      <c r="CM42" s="203"/>
      <c r="CN42" s="203"/>
      <c r="CO42" s="203"/>
      <c r="CP42" s="203"/>
      <c r="CQ42" s="203"/>
      <c r="CR42" s="203"/>
      <c r="CS42" s="203"/>
      <c r="CT42" s="203"/>
      <c r="CU42" s="203"/>
      <c r="CV42" s="203"/>
      <c r="CW42" s="203"/>
      <c r="CX42" s="204"/>
      <c r="CY42" s="204"/>
      <c r="CZ42" s="204"/>
      <c r="DA42" s="203"/>
      <c r="DB42" s="203"/>
      <c r="DC42" s="203"/>
      <c r="DD42" s="203"/>
      <c r="DE42" s="203"/>
      <c r="DF42" s="203"/>
      <c r="DG42" s="203"/>
      <c r="DH42" s="203"/>
      <c r="DI42" s="203"/>
      <c r="DJ42" s="203"/>
      <c r="DK42" s="203"/>
      <c r="DL42" s="203"/>
      <c r="DM42" s="203"/>
      <c r="DN42" s="203"/>
      <c r="DO42" s="203"/>
      <c r="DP42" s="203"/>
      <c r="DQ42" s="203"/>
      <c r="DR42" s="203"/>
      <c r="DS42" s="203"/>
      <c r="DT42" s="203"/>
      <c r="DU42" s="203"/>
      <c r="DV42" s="203"/>
      <c r="DW42" s="203"/>
      <c r="DX42" s="203"/>
    </row>
    <row r="43" spans="1:129" ht="10.199999999999999">
      <c r="A43" s="113" t="s">
        <v>192</v>
      </c>
      <c r="B43" s="118"/>
      <c r="C43" s="118"/>
      <c r="D43" s="118"/>
      <c r="E43" s="118"/>
      <c r="F43" s="118"/>
      <c r="G43" s="118"/>
      <c r="H43" s="93">
        <f>BD43</f>
        <v>0</v>
      </c>
      <c r="I43" s="93">
        <f>BH43</f>
        <v>0</v>
      </c>
      <c r="J43" s="93">
        <f>BL43</f>
        <v>0</v>
      </c>
      <c r="K43" s="93">
        <f>BP43</f>
        <v>0</v>
      </c>
      <c r="L43" s="93">
        <f>BT43</f>
        <v>0</v>
      </c>
      <c r="M43" s="93">
        <f>BX43</f>
        <v>0</v>
      </c>
      <c r="N43" s="93">
        <f>CB43</f>
        <v>2539636.9282769002</v>
      </c>
      <c r="O43" s="93">
        <f>CF43</f>
        <v>2833506.01223714</v>
      </c>
      <c r="P43" s="93">
        <f>CJ43</f>
        <v>3120595.1464656806</v>
      </c>
      <c r="Q43" s="92">
        <f>CN43</f>
        <v>3502041.5685614999</v>
      </c>
      <c r="R43" s="92">
        <f>CR43</f>
        <v>4264468.6721435487</v>
      </c>
      <c r="S43" s="92">
        <f>CV43</f>
        <v>780867</v>
      </c>
      <c r="T43" s="586">
        <f>CZ43</f>
        <v>879383</v>
      </c>
      <c r="U43" s="91">
        <f>DD43</f>
        <v>797888.56762500003</v>
      </c>
      <c r="V43" s="91">
        <f>DH43</f>
        <v>917571.85276875005</v>
      </c>
      <c r="W43" s="91">
        <f>DL43</f>
        <v>1055207.6306840624</v>
      </c>
      <c r="X43" s="91">
        <f>DP43</f>
        <v>1213488.7752866715</v>
      </c>
      <c r="Y43" s="91">
        <f>DT43</f>
        <v>1395512.0915796724</v>
      </c>
      <c r="Z43" s="91">
        <f>DX43</f>
        <v>1604838.9053166229</v>
      </c>
      <c r="AA43" s="33"/>
      <c r="AB43" s="113" t="str">
        <f>A43</f>
        <v>Reserves for property and casualty claims</v>
      </c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  <c r="BS43" s="118"/>
      <c r="BT43" s="118"/>
      <c r="BU43" s="118"/>
      <c r="BV43" s="118"/>
      <c r="BW43" s="118"/>
      <c r="BX43" s="118"/>
      <c r="BY43" s="204">
        <v>2766934.1181167299</v>
      </c>
      <c r="BZ43" s="204">
        <v>2676871.4689541995</v>
      </c>
      <c r="CA43" s="204">
        <v>2521316.81771032</v>
      </c>
      <c r="CB43" s="204">
        <v>2539636.9282769002</v>
      </c>
      <c r="CC43" s="204">
        <v>2605112.1307785902</v>
      </c>
      <c r="CD43" s="204">
        <v>2625736.43599542</v>
      </c>
      <c r="CE43" s="204">
        <v>2682271.0097418004</v>
      </c>
      <c r="CF43" s="204">
        <v>2833506.01223714</v>
      </c>
      <c r="CG43" s="204">
        <v>2930886.9697440397</v>
      </c>
      <c r="CH43" s="204">
        <v>2951614.5548533001</v>
      </c>
      <c r="CI43" s="204">
        <v>3095436.6931808209</v>
      </c>
      <c r="CJ43" s="204">
        <v>3120595.1464656806</v>
      </c>
      <c r="CK43" s="204">
        <v>3312242.3272369201</v>
      </c>
      <c r="CL43" s="204">
        <v>3430946.3863600595</v>
      </c>
      <c r="CM43" s="204">
        <v>3456980.0933684995</v>
      </c>
      <c r="CN43" s="204">
        <v>3502041.5685614999</v>
      </c>
      <c r="CO43" s="204">
        <v>3769148.9736698102</v>
      </c>
      <c r="CP43" s="204">
        <v>4022485.0415406809</v>
      </c>
      <c r="CQ43" s="204">
        <v>4168037.1802682593</v>
      </c>
      <c r="CR43" s="204">
        <v>4264468.6721435487</v>
      </c>
      <c r="CS43" s="204">
        <v>1024244</v>
      </c>
      <c r="CT43" s="204">
        <v>918490</v>
      </c>
      <c r="CU43" s="204">
        <v>912306</v>
      </c>
      <c r="CV43" s="204">
        <v>780867</v>
      </c>
      <c r="CW43" s="204">
        <v>800687</v>
      </c>
      <c r="CX43" s="204">
        <v>818570</v>
      </c>
      <c r="CY43" s="204">
        <v>848435</v>
      </c>
      <c r="CZ43" s="204">
        <v>879383</v>
      </c>
      <c r="DA43" s="203">
        <f>Assumptions!DA80*SUM('Income Statement'!CX23:DA23)</f>
        <v>738175.12200000009</v>
      </c>
      <c r="DB43" s="203">
        <f>Assumptions!DB80*SUM('Income Statement'!CY23:DB23)</f>
        <v>756324.49199999997</v>
      </c>
      <c r="DC43" s="203">
        <f>Assumptions!DC80*SUM('Income Statement'!CZ23:DC23)</f>
        <v>774717.51449999993</v>
      </c>
      <c r="DD43" s="203">
        <f>Assumptions!DD80*SUM('Income Statement'!DA23:DD23)</f>
        <v>797888.56762500003</v>
      </c>
      <c r="DE43" s="203">
        <f>Assumptions!DE80*SUM('Income Statement'!DB23:DE23)</f>
        <v>825995.98342499998</v>
      </c>
      <c r="DF43" s="203">
        <f>Assumptions!DF80*SUM('Income Statement'!DC23:DF23)</f>
        <v>855942.44392499991</v>
      </c>
      <c r="DG43" s="203">
        <f>Assumptions!DG80*SUM('Income Statement'!DD23:DG23)</f>
        <v>886290.93105000001</v>
      </c>
      <c r="DH43" s="203">
        <f>Assumptions!DH80*SUM('Income Statement'!DE23:DH23)</f>
        <v>917571.85276875005</v>
      </c>
      <c r="DI43" s="203">
        <f>Assumptions!DI80*SUM('Income Statement'!DF23:DI23)</f>
        <v>949895.38093874988</v>
      </c>
      <c r="DJ43" s="203">
        <f>Assumptions!DJ80*SUM('Income Statement'!DG23:DJ23)</f>
        <v>984333.81051374984</v>
      </c>
      <c r="DK43" s="203">
        <f>Assumptions!DK80*SUM('Income Statement'!DH23:DK23)</f>
        <v>1019234.5707075</v>
      </c>
      <c r="DL43" s="203">
        <f>Assumptions!DL80*SUM('Income Statement'!DI23:DL23)</f>
        <v>1055207.6306840624</v>
      </c>
      <c r="DM43" s="203">
        <f>Assumptions!DM80*SUM('Income Statement'!DJ23:DM23)</f>
        <v>1092379.6880795623</v>
      </c>
      <c r="DN43" s="203">
        <f>Assumptions!DN80*SUM('Income Statement'!DK23:DN23)</f>
        <v>1131983.8820908123</v>
      </c>
      <c r="DO43" s="203">
        <f>Assumptions!DO80*SUM('Income Statement'!DL23:DO23)</f>
        <v>1172119.7563136248</v>
      </c>
      <c r="DP43" s="203">
        <f>Assumptions!DP80*SUM('Income Statement'!DM23:DP23)</f>
        <v>1213488.7752866715</v>
      </c>
      <c r="DQ43" s="203">
        <f>Assumptions!DQ80*SUM('Income Statement'!DN23:DQ23)</f>
        <v>1256236.6412914966</v>
      </c>
      <c r="DR43" s="203">
        <f>Assumptions!DR80*SUM('Income Statement'!DO23:DR23)</f>
        <v>1301781.464404434</v>
      </c>
      <c r="DS43" s="203">
        <f>Assumptions!DS80*SUM('Income Statement'!DP23:DS23)</f>
        <v>1347937.7197606685</v>
      </c>
      <c r="DT43" s="203">
        <f>Assumptions!DT80*SUM('Income Statement'!DQ23:DT23)</f>
        <v>1395512.0915796724</v>
      </c>
      <c r="DU43" s="203">
        <f>Assumptions!DU80*SUM('Income Statement'!DR23:DU23)</f>
        <v>1444672.137485221</v>
      </c>
      <c r="DV43" s="203">
        <f>Assumptions!DV80*SUM('Income Statement'!DS23:DV23)</f>
        <v>1497048.6840650991</v>
      </c>
      <c r="DW43" s="203">
        <f>Assumptions!DW80*SUM('Income Statement'!DT23:DW23)</f>
        <v>1550128.3777247684</v>
      </c>
      <c r="DX43" s="203">
        <f>Assumptions!DX80*SUM('Income Statement'!DU23:DX23)</f>
        <v>1604838.9053166229</v>
      </c>
    </row>
    <row r="44" spans="1:129" ht="10.199999999999999">
      <c r="A44" s="113" t="s">
        <v>191</v>
      </c>
      <c r="B44" s="118"/>
      <c r="C44" s="118"/>
      <c r="D44" s="118"/>
      <c r="E44" s="118"/>
      <c r="F44" s="118"/>
      <c r="G44" s="118"/>
      <c r="H44" s="93">
        <f>BD44</f>
        <v>0</v>
      </c>
      <c r="I44" s="93">
        <f>BH44</f>
        <v>0</v>
      </c>
      <c r="J44" s="93">
        <f>BL44</f>
        <v>0</v>
      </c>
      <c r="K44" s="93">
        <f>BP44</f>
        <v>0</v>
      </c>
      <c r="L44" s="93">
        <f>BT44</f>
        <v>0</v>
      </c>
      <c r="M44" s="93">
        <f>BX44</f>
        <v>0</v>
      </c>
      <c r="N44" s="93">
        <f>CB44</f>
        <v>404669.44739360001</v>
      </c>
      <c r="O44" s="93">
        <f>CF44</f>
        <v>526964.81259801006</v>
      </c>
      <c r="P44" s="93">
        <f>CJ44</f>
        <v>595294.50872992014</v>
      </c>
      <c r="Q44" s="92">
        <f>CN44</f>
        <v>616205.62256249995</v>
      </c>
      <c r="R44" s="92">
        <f>CR44</f>
        <v>720246.9158508</v>
      </c>
      <c r="S44" s="92">
        <f>CV44</f>
        <v>4616192</v>
      </c>
      <c r="T44" s="586">
        <f>CZ44</f>
        <v>5482244</v>
      </c>
      <c r="U44" s="91">
        <f>DD44</f>
        <v>750953.946</v>
      </c>
      <c r="V44" s="91">
        <f>DH44</f>
        <v>863597.03790000011</v>
      </c>
      <c r="W44" s="91">
        <f>DL44</f>
        <v>993136.59358499991</v>
      </c>
      <c r="X44" s="91">
        <f>DP44</f>
        <v>1142107.0826227497</v>
      </c>
      <c r="Y44" s="91">
        <f>DT44</f>
        <v>1313423.1450161624</v>
      </c>
      <c r="Z44" s="91">
        <f>DX44</f>
        <v>1510436.6167685864</v>
      </c>
      <c r="AA44" s="33"/>
      <c r="AB44" s="113" t="str">
        <f>A44</f>
        <v>Reserve for unearned premiums</v>
      </c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  <c r="BS44" s="118"/>
      <c r="BT44" s="118"/>
      <c r="BU44" s="118"/>
      <c r="BV44" s="118"/>
      <c r="BW44" s="118"/>
      <c r="BX44" s="118"/>
      <c r="BY44" s="204">
        <v>436170.03928496008</v>
      </c>
      <c r="BZ44" s="204">
        <v>424295.27177310002</v>
      </c>
      <c r="CA44" s="204">
        <v>406374.62819939997</v>
      </c>
      <c r="CB44" s="204">
        <v>404669.44739360001</v>
      </c>
      <c r="CC44" s="204">
        <v>393630.19587684004</v>
      </c>
      <c r="CD44" s="204">
        <v>424027.92338334006</v>
      </c>
      <c r="CE44" s="204">
        <v>455289.21458514</v>
      </c>
      <c r="CF44" s="204">
        <v>526964.81259801006</v>
      </c>
      <c r="CG44" s="204">
        <v>503712.58586196002</v>
      </c>
      <c r="CH44" s="204">
        <v>494027.35474198998</v>
      </c>
      <c r="CI44" s="204">
        <v>493390.00137108</v>
      </c>
      <c r="CJ44" s="204">
        <v>595294.50872992014</v>
      </c>
      <c r="CK44" s="204">
        <v>549663.04233287997</v>
      </c>
      <c r="CL44" s="204">
        <v>529625.50845783006</v>
      </c>
      <c r="CM44" s="204">
        <v>523087.64618196001</v>
      </c>
      <c r="CN44" s="204">
        <v>616205.62256249995</v>
      </c>
      <c r="CO44" s="204">
        <v>630106.56699791993</v>
      </c>
      <c r="CP44" s="204">
        <v>678574.96888583992</v>
      </c>
      <c r="CQ44" s="204">
        <v>670630.33873653994</v>
      </c>
      <c r="CR44" s="204">
        <v>720246.9158508</v>
      </c>
      <c r="CS44" s="204">
        <v>4106277</v>
      </c>
      <c r="CT44" s="204">
        <v>4220503</v>
      </c>
      <c r="CU44" s="204">
        <v>4409593</v>
      </c>
      <c r="CV44" s="204">
        <v>4616192</v>
      </c>
      <c r="CW44" s="204">
        <v>4813537</v>
      </c>
      <c r="CX44" s="204">
        <v>4993508</v>
      </c>
      <c r="CY44" s="204">
        <v>5161785</v>
      </c>
      <c r="CZ44" s="204">
        <v>5482244</v>
      </c>
      <c r="DA44" s="203">
        <f>Assumptions!DA81*SUM('Income Statement'!CX23:DA23)</f>
        <v>694753.0560000001</v>
      </c>
      <c r="DB44" s="203">
        <f>Assumptions!DB81*SUM('Income Statement'!CY23:DB23)</f>
        <v>711834.81600000011</v>
      </c>
      <c r="DC44" s="203">
        <f>Assumptions!DC81*SUM('Income Statement'!CZ23:DC23)</f>
        <v>729145.89600000007</v>
      </c>
      <c r="DD44" s="203">
        <f>Assumptions!DD81*SUM('Income Statement'!DA23:DD23)</f>
        <v>750953.946</v>
      </c>
      <c r="DE44" s="203">
        <f>Assumptions!DE81*SUM('Income Statement'!DB23:DE23)</f>
        <v>777407.98440000007</v>
      </c>
      <c r="DF44" s="203">
        <f>Assumptions!DF81*SUM('Income Statement'!DC23:DF23)</f>
        <v>805592.88840000005</v>
      </c>
      <c r="DG44" s="203">
        <f>Assumptions!DG81*SUM('Income Statement'!DD23:DG23)</f>
        <v>834156.17040000018</v>
      </c>
      <c r="DH44" s="203">
        <f>Assumptions!DH81*SUM('Income Statement'!DE23:DH23)</f>
        <v>863597.03790000011</v>
      </c>
      <c r="DI44" s="203">
        <f>Assumptions!DI81*SUM('Income Statement'!DF23:DI23)</f>
        <v>894019.18206000002</v>
      </c>
      <c r="DJ44" s="203">
        <f>Assumptions!DJ81*SUM('Income Statement'!DG23:DJ23)</f>
        <v>926431.8216599999</v>
      </c>
      <c r="DK44" s="203">
        <f>Assumptions!DK81*SUM('Income Statement'!DH23:DK23)</f>
        <v>959279.59596000006</v>
      </c>
      <c r="DL44" s="203">
        <f>Assumptions!DL81*SUM('Income Statement'!DI23:DL23)</f>
        <v>993136.59358499991</v>
      </c>
      <c r="DM44" s="203">
        <f>Assumptions!DM81*SUM('Income Statement'!DJ23:DM23)</f>
        <v>1028122.0593689999</v>
      </c>
      <c r="DN44" s="203">
        <f>Assumptions!DN81*SUM('Income Statement'!DK23:DN23)</f>
        <v>1065396.594909</v>
      </c>
      <c r="DO44" s="203">
        <f>Assumptions!DO81*SUM('Income Statement'!DL23:DO23)</f>
        <v>1103171.5353539998</v>
      </c>
      <c r="DP44" s="203">
        <f>Assumptions!DP81*SUM('Income Statement'!DM23:DP23)</f>
        <v>1142107.0826227497</v>
      </c>
      <c r="DQ44" s="203">
        <f>Assumptions!DQ81*SUM('Income Statement'!DN23:DQ23)</f>
        <v>1182340.3682743497</v>
      </c>
      <c r="DR44" s="203">
        <f>Assumptions!DR81*SUM('Income Statement'!DO23:DR23)</f>
        <v>1225206.0841453497</v>
      </c>
      <c r="DS44" s="203">
        <f>Assumptions!DS81*SUM('Income Statement'!DP23:DS23)</f>
        <v>1268647.2656570999</v>
      </c>
      <c r="DT44" s="203">
        <f>Assumptions!DT81*SUM('Income Statement'!DQ23:DT23)</f>
        <v>1313423.1450161624</v>
      </c>
      <c r="DU44" s="203">
        <f>Assumptions!DU81*SUM('Income Statement'!DR23:DU23)</f>
        <v>1359691.4235155024</v>
      </c>
      <c r="DV44" s="203">
        <f>Assumptions!DV81*SUM('Income Statement'!DS23:DV23)</f>
        <v>1408986.9967671521</v>
      </c>
      <c r="DW44" s="203">
        <f>Assumptions!DW81*SUM('Income Statement'!DT23:DW23)</f>
        <v>1458944.3555056646</v>
      </c>
      <c r="DX44" s="203">
        <f>Assumptions!DX81*SUM('Income Statement'!DU23:DX23)</f>
        <v>1510436.6167685864</v>
      </c>
    </row>
    <row r="45" spans="1:129" ht="10.199999999999999">
      <c r="A45" s="113" t="s">
        <v>190</v>
      </c>
      <c r="B45" s="118"/>
      <c r="C45" s="118"/>
      <c r="D45" s="118"/>
      <c r="E45" s="118"/>
      <c r="F45" s="118"/>
      <c r="G45" s="118"/>
      <c r="H45" s="93">
        <f>BD45</f>
        <v>0</v>
      </c>
      <c r="I45" s="93">
        <f>BH45</f>
        <v>0</v>
      </c>
      <c r="J45" s="93">
        <f>BL45</f>
        <v>0</v>
      </c>
      <c r="K45" s="93">
        <f>BP45</f>
        <v>0</v>
      </c>
      <c r="L45" s="93">
        <f>BT45</f>
        <v>0</v>
      </c>
      <c r="M45" s="93">
        <f>BX45</f>
        <v>0</v>
      </c>
      <c r="N45" s="93">
        <f>CB45</f>
        <v>138746.38393710001</v>
      </c>
      <c r="O45" s="93">
        <f>CF45</f>
        <v>170716.80435325002</v>
      </c>
      <c r="P45" s="93">
        <f>CJ45</f>
        <v>203185.50115112003</v>
      </c>
      <c r="Q45" s="92">
        <f>CN45</f>
        <v>174765.56827349999</v>
      </c>
      <c r="R45" s="92">
        <f>CR45</f>
        <v>232495.57181759999</v>
      </c>
      <c r="S45" s="92">
        <f>CV45</f>
        <v>220910</v>
      </c>
      <c r="T45" s="586">
        <f>CZ45</f>
        <v>349354</v>
      </c>
      <c r="U45" s="91">
        <f>DD45</f>
        <v>830341.26191976189</v>
      </c>
      <c r="V45" s="91">
        <f>DH45</f>
        <v>939779.5030444765</v>
      </c>
      <c r="W45" s="91">
        <f>DL45</f>
        <v>1063366.5381134108</v>
      </c>
      <c r="X45" s="91">
        <f>DP45</f>
        <v>1202884.6448845244</v>
      </c>
      <c r="Y45" s="91">
        <f>DT45</f>
        <v>1360332.4365794207</v>
      </c>
      <c r="Z45" s="91">
        <f>DX45</f>
        <v>1537949.6612728841</v>
      </c>
      <c r="AA45" s="33"/>
      <c r="AB45" s="113" t="str">
        <f>A45</f>
        <v>Reinsurance payable</v>
      </c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  <c r="BS45" s="118"/>
      <c r="BT45" s="118"/>
      <c r="BU45" s="118"/>
      <c r="BV45" s="118"/>
      <c r="BW45" s="118"/>
      <c r="BX45" s="118"/>
      <c r="BY45" s="204">
        <v>125560.81210400001</v>
      </c>
      <c r="BZ45" s="204">
        <v>109177.56250450001</v>
      </c>
      <c r="CA45" s="204">
        <v>111990.24816840001</v>
      </c>
      <c r="CB45" s="204">
        <v>138746.38393710001</v>
      </c>
      <c r="CC45" s="204">
        <v>96592.138463160009</v>
      </c>
      <c r="CD45" s="204">
        <v>151378.28761104</v>
      </c>
      <c r="CE45" s="204">
        <v>181466.64674345998</v>
      </c>
      <c r="CF45" s="204">
        <v>170716.80435325002</v>
      </c>
      <c r="CG45" s="204">
        <v>100622.48253656</v>
      </c>
      <c r="CH45" s="204">
        <v>153629.62658669002</v>
      </c>
      <c r="CI45" s="204">
        <v>163763.66155008998</v>
      </c>
      <c r="CJ45" s="204">
        <v>203185.50115112003</v>
      </c>
      <c r="CK45" s="204">
        <v>144332.767341</v>
      </c>
      <c r="CL45" s="204">
        <v>186388.21514672998</v>
      </c>
      <c r="CM45" s="204">
        <v>169347.43051104</v>
      </c>
      <c r="CN45" s="204">
        <v>174765.56827349999</v>
      </c>
      <c r="CO45" s="204">
        <v>171914.08181790001</v>
      </c>
      <c r="CP45" s="204">
        <v>222892.45823623997</v>
      </c>
      <c r="CQ45" s="204">
        <v>199237.70071269994</v>
      </c>
      <c r="CR45" s="204">
        <v>232495.57181759999</v>
      </c>
      <c r="CS45" s="204">
        <v>159396</v>
      </c>
      <c r="CT45" s="204">
        <v>229201</v>
      </c>
      <c r="CU45" s="204">
        <v>221007</v>
      </c>
      <c r="CV45" s="204">
        <v>220910</v>
      </c>
      <c r="CW45" s="204">
        <v>329464</v>
      </c>
      <c r="CX45" s="204">
        <v>328381</v>
      </c>
      <c r="CY45" s="204">
        <v>364396</v>
      </c>
      <c r="CZ45" s="204">
        <v>349354</v>
      </c>
      <c r="DA45" s="203">
        <f>-Assumptions!DA82*SUM('Income Statement'!CX24:DA24)</f>
        <v>755762.38060559437</v>
      </c>
      <c r="DB45" s="203">
        <f>-Assumptions!DB82*SUM('Income Statement'!CY24:DB24)</f>
        <v>785203.28334677615</v>
      </c>
      <c r="DC45" s="203">
        <f>-Assumptions!DC82*SUM('Income Statement'!CZ24:DC24)</f>
        <v>809420.05479476182</v>
      </c>
      <c r="DD45" s="203">
        <f>-Assumptions!DD82*SUM('Income Statement'!DA24:DD24)</f>
        <v>830341.26191976189</v>
      </c>
      <c r="DE45" s="203">
        <f>-Assumptions!DE82*SUM('Income Statement'!DB24:DE24)</f>
        <v>856221.04885860113</v>
      </c>
      <c r="DF45" s="203">
        <f>-Assumptions!DF82*SUM('Income Statement'!DC24:DF24)</f>
        <v>883670.81964977866</v>
      </c>
      <c r="DG45" s="203">
        <f>-Assumptions!DG82*SUM('Income Statement'!DD24:DG24)</f>
        <v>911364.13503197662</v>
      </c>
      <c r="DH45" s="203">
        <f>-Assumptions!DH82*SUM('Income Statement'!DE24:DH24)</f>
        <v>939779.5030444765</v>
      </c>
      <c r="DI45" s="203">
        <f>-Assumptions!DI82*SUM('Income Statement'!DF24:DI24)</f>
        <v>969008.87050134165</v>
      </c>
      <c r="DJ45" s="203">
        <f>-Assumptions!DJ82*SUM('Income Statement'!DG24:DJ24)</f>
        <v>1000008.8857181956</v>
      </c>
      <c r="DK45" s="203">
        <f>-Assumptions!DK82*SUM('Income Statement'!DH24:DK24)</f>
        <v>1031281.3623574734</v>
      </c>
      <c r="DL45" s="203">
        <f>-Assumptions!DL82*SUM('Income Statement'!DI24:DL24)</f>
        <v>1063366.5381134108</v>
      </c>
      <c r="DM45" s="203">
        <f>-Assumptions!DM82*SUM('Income Statement'!DJ24:DM24)</f>
        <v>1096368.0650375858</v>
      </c>
      <c r="DN45" s="203">
        <f>-Assumptions!DN82*SUM('Income Statement'!DK24:DN24)</f>
        <v>1131365.7781650177</v>
      </c>
      <c r="DO45" s="203">
        <f>-Assumptions!DO82*SUM('Income Statement'!DL24:DO24)</f>
        <v>1166668.0648423994</v>
      </c>
      <c r="DP45" s="203">
        <f>-Assumptions!DP82*SUM('Income Statement'!DM24:DP24)</f>
        <v>1202884.6448845244</v>
      </c>
      <c r="DQ45" s="203">
        <f>-Assumptions!DQ82*SUM('Income Statement'!DN24:DQ24)</f>
        <v>1240132.3183484226</v>
      </c>
      <c r="DR45" s="203">
        <f>-Assumptions!DR82*SUM('Income Statement'!DO24:DR24)</f>
        <v>1279629.5384172271</v>
      </c>
      <c r="DS45" s="203">
        <f>-Assumptions!DS82*SUM('Income Statement'!DP24:DS24)</f>
        <v>1319466.9474197605</v>
      </c>
      <c r="DT45" s="203">
        <f>-Assumptions!DT82*SUM('Income Statement'!DQ24:DT24)</f>
        <v>1360332.4365794207</v>
      </c>
      <c r="DU45" s="203">
        <f>-Assumptions!DU82*SUM('Income Statement'!DR24:DU24)</f>
        <v>1402357.5661891652</v>
      </c>
      <c r="DV45" s="203">
        <f>-Assumptions!DV82*SUM('Income Statement'!DS24:DV24)</f>
        <v>1446916.6967363865</v>
      </c>
      <c r="DW45" s="203">
        <f>-Assumptions!DW82*SUM('Income Statement'!DT24:DW24)</f>
        <v>1491855.4633113758</v>
      </c>
      <c r="DX45" s="203">
        <f>-Assumptions!DX82*SUM('Income Statement'!DU24:DX24)</f>
        <v>1537949.6612728841</v>
      </c>
    </row>
    <row r="46" spans="1:129" ht="10.199999999999999">
      <c r="A46" s="113"/>
      <c r="B46" s="118"/>
      <c r="C46" s="118"/>
      <c r="D46" s="118"/>
      <c r="E46" s="118"/>
      <c r="F46" s="118"/>
      <c r="G46" s="118"/>
      <c r="H46" s="93"/>
      <c r="I46" s="93"/>
      <c r="J46" s="93"/>
      <c r="K46" s="93"/>
      <c r="L46" s="93"/>
      <c r="M46" s="93"/>
      <c r="N46" s="93"/>
      <c r="O46" s="93"/>
      <c r="P46" s="93"/>
      <c r="Q46" s="92"/>
      <c r="R46" s="92"/>
      <c r="S46" s="92"/>
      <c r="T46" s="586"/>
      <c r="U46" s="91"/>
      <c r="V46" s="91"/>
      <c r="W46" s="91"/>
      <c r="X46" s="91"/>
      <c r="Y46" s="91"/>
      <c r="Z46" s="91"/>
      <c r="AA46" s="33"/>
      <c r="AB46" s="113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  <c r="CX46" s="204"/>
      <c r="CY46" s="204"/>
      <c r="CZ46" s="204"/>
      <c r="DA46" s="203"/>
      <c r="DB46" s="203"/>
      <c r="DC46" s="203"/>
      <c r="DD46" s="203"/>
      <c r="DE46" s="203"/>
      <c r="DF46" s="203"/>
      <c r="DG46" s="203"/>
      <c r="DH46" s="203"/>
      <c r="DI46" s="203"/>
      <c r="DJ46" s="203"/>
      <c r="DK46" s="203"/>
      <c r="DL46" s="203"/>
      <c r="DM46" s="203"/>
      <c r="DN46" s="203"/>
      <c r="DO46" s="203"/>
      <c r="DP46" s="203"/>
      <c r="DQ46" s="203"/>
      <c r="DR46" s="203"/>
      <c r="DS46" s="203"/>
      <c r="DT46" s="203"/>
      <c r="DU46" s="203"/>
      <c r="DV46" s="203"/>
      <c r="DW46" s="203"/>
      <c r="DX46" s="203"/>
    </row>
    <row r="47" spans="1:129" ht="10.199999999999999">
      <c r="A47" s="113" t="s">
        <v>151</v>
      </c>
      <c r="B47" s="118"/>
      <c r="C47" s="118"/>
      <c r="D47" s="118"/>
      <c r="E47" s="118"/>
      <c r="F47" s="118"/>
      <c r="G47" s="118"/>
      <c r="H47" s="93">
        <f>BD47</f>
        <v>0</v>
      </c>
      <c r="I47" s="93">
        <f>BH47</f>
        <v>0</v>
      </c>
      <c r="J47" s="93">
        <f>BL47</f>
        <v>0</v>
      </c>
      <c r="K47" s="93">
        <f>BP47</f>
        <v>0</v>
      </c>
      <c r="L47" s="93">
        <f>BT47</f>
        <v>0</v>
      </c>
      <c r="M47" s="93">
        <f>BX47</f>
        <v>0</v>
      </c>
      <c r="N47" s="93">
        <f>CB47</f>
        <v>2420956.6796079995</v>
      </c>
      <c r="O47" s="93">
        <f>CF47</f>
        <v>2604244.6601071297</v>
      </c>
      <c r="P47" s="93">
        <f>CJ47</f>
        <v>2536776.5965729598</v>
      </c>
      <c r="Q47" s="92">
        <f>CN47</f>
        <v>6684533.4293280002</v>
      </c>
      <c r="R47" s="92">
        <f>CR47</f>
        <v>4175871.7122346498</v>
      </c>
      <c r="S47" s="92">
        <f>CV47</f>
        <v>6641255</v>
      </c>
      <c r="T47" s="586">
        <f>CZ47</f>
        <v>6139012</v>
      </c>
      <c r="U47" s="91">
        <f>DD47</f>
        <v>6339082.9492306774</v>
      </c>
      <c r="V47" s="91">
        <f>DH47</f>
        <v>6527668.5514243413</v>
      </c>
      <c r="W47" s="91">
        <f>DL47</f>
        <v>6723498.6079670694</v>
      </c>
      <c r="X47" s="91">
        <f>DP47</f>
        <v>6925203.566206079</v>
      </c>
      <c r="Y47" s="91">
        <f>DT47</f>
        <v>7132959.6731922599</v>
      </c>
      <c r="Z47" s="91">
        <f>DX47</f>
        <v>7346948.4633880248</v>
      </c>
      <c r="AA47" s="33"/>
      <c r="AB47" s="113" t="str">
        <f>A47</f>
        <v>Other liabilities</v>
      </c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204">
        <v>3402911.5761154597</v>
      </c>
      <c r="BZ47" s="204">
        <v>3047147.1265304992</v>
      </c>
      <c r="CA47" s="204">
        <v>3034687.77034892</v>
      </c>
      <c r="CB47" s="204">
        <v>2420956.6796079995</v>
      </c>
      <c r="CC47" s="204">
        <v>3418315.9776358609</v>
      </c>
      <c r="CD47" s="204">
        <v>2404924.2782794004</v>
      </c>
      <c r="CE47" s="204">
        <v>2765071.4214381403</v>
      </c>
      <c r="CF47" s="204">
        <v>2604244.6601071297</v>
      </c>
      <c r="CG47" s="204">
        <v>3302043.14039888</v>
      </c>
      <c r="CH47" s="204">
        <v>2642424.0949474098</v>
      </c>
      <c r="CI47" s="204">
        <v>2648336.2904946101</v>
      </c>
      <c r="CJ47" s="204">
        <v>2536776.5965729598</v>
      </c>
      <c r="CK47" s="204">
        <v>3803790.6664948598</v>
      </c>
      <c r="CL47" s="204">
        <v>3207404.4461018499</v>
      </c>
      <c r="CM47" s="204">
        <v>6124363.6148256203</v>
      </c>
      <c r="CN47" s="204">
        <v>6684533.4293280002</v>
      </c>
      <c r="CO47" s="204">
        <v>6603753.2454704</v>
      </c>
      <c r="CP47" s="204">
        <v>5575326.8053188799</v>
      </c>
      <c r="CQ47" s="204">
        <v>5045436.85751653</v>
      </c>
      <c r="CR47" s="204">
        <v>4175871.7122346498</v>
      </c>
      <c r="CS47" s="204">
        <v>5553999</v>
      </c>
      <c r="CT47" s="204">
        <v>5805852</v>
      </c>
      <c r="CU47" s="204">
        <f>6655236-2</f>
        <v>6655234</v>
      </c>
      <c r="CV47" s="204">
        <v>6641255</v>
      </c>
      <c r="CW47" s="204">
        <v>7345728</v>
      </c>
      <c r="CX47" s="204">
        <v>5836077</v>
      </c>
      <c r="CY47" s="204">
        <v>6434818</v>
      </c>
      <c r="CZ47" s="204">
        <v>6139012</v>
      </c>
      <c r="DA47" s="203">
        <f>(1+Assumptions!DA85)*'Balance Sheet'!CZ47</f>
        <v>6189587.5369870085</v>
      </c>
      <c r="DB47" s="203">
        <f>(1+Assumptions!DB85)*'Balance Sheet'!DA47</f>
        <v>6241541.2353720013</v>
      </c>
      <c r="DC47" s="203">
        <f>(1+Assumptions!DC85)*'Balance Sheet'!DB47</f>
        <v>6290885.32183157</v>
      </c>
      <c r="DD47" s="203">
        <f>(1+Assumptions!DD85)*'Balance Sheet'!DC47</f>
        <v>6339082.9492306774</v>
      </c>
      <c r="DE47" s="203">
        <f>(1+Assumptions!DE85)*'Balance Sheet'!DD47</f>
        <v>6387649.8428249331</v>
      </c>
      <c r="DF47" s="203">
        <f>(1+Assumptions!DF85)*'Balance Sheet'!DE47</f>
        <v>6433465.0313463649</v>
      </c>
      <c r="DG47" s="203">
        <f>(1+Assumptions!DG85)*'Balance Sheet'!DF47</f>
        <v>6479608.8276579706</v>
      </c>
      <c r="DH47" s="203">
        <f>(1+Assumptions!DH85)*'Balance Sheet'!DG47</f>
        <v>6527668.5514243413</v>
      </c>
      <c r="DI47" s="203">
        <f>(1+Assumptions!DI85)*'Balance Sheet'!DH47</f>
        <v>6576084.7376115052</v>
      </c>
      <c r="DJ47" s="203">
        <f>(1+Assumptions!DJ85)*'Balance Sheet'!DI47</f>
        <v>6624860.0301268231</v>
      </c>
      <c r="DK47" s="203">
        <f>(1+Assumptions!DK85)*'Balance Sheet'!DJ47</f>
        <v>6673997.0924877077</v>
      </c>
      <c r="DL47" s="203">
        <f>(1+Assumptions!DL85)*'Balance Sheet'!DK47</f>
        <v>6723498.6079670694</v>
      </c>
      <c r="DM47" s="203">
        <f>(1+Assumptions!DM85)*'Balance Sheet'!DL47</f>
        <v>6773367.2797398483</v>
      </c>
      <c r="DN47" s="203">
        <f>(1+Assumptions!DN85)*'Balance Sheet'!DM47</f>
        <v>6823605.8310306258</v>
      </c>
      <c r="DO47" s="203">
        <f>(1+Assumptions!DO85)*'Balance Sheet'!DN47</f>
        <v>6874217.0052623367</v>
      </c>
      <c r="DP47" s="203">
        <f>(1+Assumptions!DP85)*'Balance Sheet'!DO47</f>
        <v>6925203.566206079</v>
      </c>
      <c r="DQ47" s="203">
        <f>(1+Assumptions!DQ85)*'Balance Sheet'!DP47</f>
        <v>6976568.2981320415</v>
      </c>
      <c r="DR47" s="203">
        <f>(1+Assumptions!DR85)*'Balance Sheet'!DQ47</f>
        <v>7028314.0059615429</v>
      </c>
      <c r="DS47" s="203">
        <f>(1+Assumptions!DS85)*'Balance Sheet'!DR47</f>
        <v>7080443.515420205</v>
      </c>
      <c r="DT47" s="203">
        <f>(1+Assumptions!DT85)*'Balance Sheet'!DS47</f>
        <v>7132959.6731922599</v>
      </c>
      <c r="DU47" s="203">
        <f>(1+Assumptions!DU85)*'Balance Sheet'!DT47</f>
        <v>7185865.3470760006</v>
      </c>
      <c r="DV47" s="203">
        <f>(1+Assumptions!DV85)*'Balance Sheet'!DU47</f>
        <v>7239163.4261403866</v>
      </c>
      <c r="DW47" s="203">
        <f>(1+Assumptions!DW85)*'Balance Sheet'!DV47</f>
        <v>7292856.8208828084</v>
      </c>
      <c r="DX47" s="203">
        <f>(1+Assumptions!DX85)*'Balance Sheet'!DW47</f>
        <v>7346948.4633880248</v>
      </c>
    </row>
    <row r="48" spans="1:129" ht="10.199999999999999">
      <c r="A48" s="111" t="s">
        <v>189</v>
      </c>
      <c r="B48" s="107"/>
      <c r="C48" s="107"/>
      <c r="D48" s="107"/>
      <c r="E48" s="107"/>
      <c r="F48" s="107"/>
      <c r="G48" s="107"/>
      <c r="H48" s="183">
        <f t="shared" ref="H48:X48" si="48">H37+SUM(H39:H47)</f>
        <v>0</v>
      </c>
      <c r="I48" s="183">
        <f t="shared" si="48"/>
        <v>0</v>
      </c>
      <c r="J48" s="183">
        <f t="shared" si="48"/>
        <v>0</v>
      </c>
      <c r="K48" s="183">
        <f t="shared" si="48"/>
        <v>0</v>
      </c>
      <c r="L48" s="183">
        <f t="shared" si="48"/>
        <v>0</v>
      </c>
      <c r="M48" s="183">
        <f t="shared" si="48"/>
        <v>0</v>
      </c>
      <c r="N48" s="183">
        <f t="shared" si="48"/>
        <v>56786423.964138299</v>
      </c>
      <c r="O48" s="183">
        <f t="shared" si="48"/>
        <v>71876110.647867233</v>
      </c>
      <c r="P48" s="183">
        <f t="shared" si="48"/>
        <v>74068885.224007443</v>
      </c>
      <c r="Q48" s="202">
        <f t="shared" si="48"/>
        <v>93744001.597252488</v>
      </c>
      <c r="R48" s="202">
        <f t="shared" si="48"/>
        <v>102200360.58880669</v>
      </c>
      <c r="S48" s="202">
        <f t="shared" si="48"/>
        <v>120825387</v>
      </c>
      <c r="T48" s="587">
        <f t="shared" si="48"/>
        <v>138971967</v>
      </c>
      <c r="U48" s="201">
        <f t="shared" ca="1" si="48"/>
        <v>152639427.83847117</v>
      </c>
      <c r="V48" s="201">
        <f t="shared" ca="1" si="48"/>
        <v>165366556.23445043</v>
      </c>
      <c r="W48" s="201">
        <f t="shared" ca="1" si="48"/>
        <v>178309382.07742774</v>
      </c>
      <c r="X48" s="201">
        <f t="shared" ca="1" si="48"/>
        <v>192761830.12438968</v>
      </c>
      <c r="Y48" s="201">
        <f t="shared" ref="Y48:Z48" ca="1" si="49">Y37+SUM(Y39:Y47)</f>
        <v>209629430.51291126</v>
      </c>
      <c r="Z48" s="201">
        <f t="shared" ca="1" si="49"/>
        <v>229243219.67845047</v>
      </c>
      <c r="AA48" s="33"/>
      <c r="AB48" s="111" t="str">
        <f>A48</f>
        <v>Total liabilities</v>
      </c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83">
        <f t="shared" ref="BY48:CR48" si="50">BY37+SUM(BY39:BY47)</f>
        <v>60991417.471575439</v>
      </c>
      <c r="BZ48" s="183">
        <f t="shared" si="50"/>
        <v>56670686.274621293</v>
      </c>
      <c r="CA48" s="183">
        <f t="shared" si="50"/>
        <v>53269460.199217357</v>
      </c>
      <c r="CB48" s="183">
        <f t="shared" si="50"/>
        <v>56786423.964138299</v>
      </c>
      <c r="CC48" s="183">
        <f t="shared" si="50"/>
        <v>59704902.951408416</v>
      </c>
      <c r="CD48" s="183">
        <f t="shared" si="50"/>
        <v>59915118.31463962</v>
      </c>
      <c r="CE48" s="183">
        <f t="shared" si="50"/>
        <v>65996751.178102084</v>
      </c>
      <c r="CF48" s="183">
        <f t="shared" si="50"/>
        <v>71876110.647867233</v>
      </c>
      <c r="CG48" s="183">
        <f t="shared" si="50"/>
        <v>74252913.576860666</v>
      </c>
      <c r="CH48" s="183">
        <f t="shared" si="50"/>
        <v>73218884.682948977</v>
      </c>
      <c r="CI48" s="183">
        <f t="shared" si="50"/>
        <v>73492555.683269933</v>
      </c>
      <c r="CJ48" s="183">
        <f t="shared" si="50"/>
        <v>74068885.224007443</v>
      </c>
      <c r="CK48" s="183">
        <f t="shared" si="50"/>
        <v>81588725.868904099</v>
      </c>
      <c r="CL48" s="183">
        <f t="shared" si="50"/>
        <v>83594756.238858014</v>
      </c>
      <c r="CM48" s="183">
        <f t="shared" si="50"/>
        <v>87202103.716347441</v>
      </c>
      <c r="CN48" s="183">
        <f t="shared" si="50"/>
        <v>93744001.597252488</v>
      </c>
      <c r="CO48" s="183">
        <f t="shared" si="50"/>
        <v>98895454.635350987</v>
      </c>
      <c r="CP48" s="183">
        <f t="shared" si="50"/>
        <v>99536707.315127119</v>
      </c>
      <c r="CQ48" s="183">
        <f t="shared" si="50"/>
        <v>99922710.058196127</v>
      </c>
      <c r="CR48" s="183">
        <f t="shared" si="50"/>
        <v>102200360.58880669</v>
      </c>
      <c r="CS48" s="183">
        <f t="shared" ref="CS48:CT48" si="51">CS37+SUM(CS39:CS47)</f>
        <v>111185188</v>
      </c>
      <c r="CT48" s="183">
        <f t="shared" si="51"/>
        <v>113507906</v>
      </c>
      <c r="CU48" s="183">
        <f t="shared" ref="CU48:CV48" si="52">CU37+SUM(CU39:CU47)</f>
        <v>118574168</v>
      </c>
      <c r="CV48" s="183">
        <f t="shared" si="52"/>
        <v>120825387</v>
      </c>
      <c r="CW48" s="183">
        <f t="shared" ref="CW48:CX48" si="53">CW37+SUM(CW39:CW47)</f>
        <v>126055232</v>
      </c>
      <c r="CX48" s="587">
        <f t="shared" si="53"/>
        <v>127833748</v>
      </c>
      <c r="CY48" s="587">
        <f t="shared" ref="CY48:CZ48" si="54">CY37+SUM(CY39:CY47)</f>
        <v>137054522</v>
      </c>
      <c r="CZ48" s="587">
        <f t="shared" si="54"/>
        <v>138971967</v>
      </c>
      <c r="DA48" s="200">
        <f t="shared" ref="DA48:DP48" ca="1" si="55">DA37+SUM(DA39:DA47)</f>
        <v>149167280.19150847</v>
      </c>
      <c r="DB48" s="200">
        <f t="shared" ca="1" si="55"/>
        <v>147417292.93506736</v>
      </c>
      <c r="DC48" s="200">
        <f t="shared" ca="1" si="55"/>
        <v>153805559.3691209</v>
      </c>
      <c r="DD48" s="200">
        <f t="shared" ca="1" si="55"/>
        <v>152639427.83847117</v>
      </c>
      <c r="DE48" s="200">
        <f t="shared" ca="1" si="55"/>
        <v>159895078.42796639</v>
      </c>
      <c r="DF48" s="200">
        <f t="shared" ca="1" si="55"/>
        <v>159482245.5296298</v>
      </c>
      <c r="DG48" s="200">
        <f t="shared" ca="1" si="55"/>
        <v>165888243.11450869</v>
      </c>
      <c r="DH48" s="200">
        <f t="shared" ca="1" si="55"/>
        <v>165366556.23445043</v>
      </c>
      <c r="DI48" s="200">
        <f t="shared" ca="1" si="55"/>
        <v>172330089.41722333</v>
      </c>
      <c r="DJ48" s="200">
        <f t="shared" ca="1" si="55"/>
        <v>172382056.07507604</v>
      </c>
      <c r="DK48" s="200">
        <f t="shared" ca="1" si="55"/>
        <v>178306484.2247256</v>
      </c>
      <c r="DL48" s="200">
        <f t="shared" ca="1" si="55"/>
        <v>178309382.07742774</v>
      </c>
      <c r="DM48" s="200">
        <f t="shared" ca="1" si="55"/>
        <v>185224214.84460503</v>
      </c>
      <c r="DN48" s="200">
        <f t="shared" ca="1" si="55"/>
        <v>186102805.795623</v>
      </c>
      <c r="DO48" s="200">
        <f t="shared" ca="1" si="55"/>
        <v>191791743.33417684</v>
      </c>
      <c r="DP48" s="200">
        <f t="shared" ca="1" si="55"/>
        <v>192761830.12438968</v>
      </c>
      <c r="DQ48" s="200">
        <f t="shared" ref="DQ48:DT48" ca="1" si="56">DQ37+SUM(DQ39:DQ47)</f>
        <v>199580380.36287028</v>
      </c>
      <c r="DR48" s="200">
        <f t="shared" ca="1" si="56"/>
        <v>201584418.54771298</v>
      </c>
      <c r="DS48" s="200">
        <f t="shared" ca="1" si="56"/>
        <v>206808034.72356483</v>
      </c>
      <c r="DT48" s="200">
        <f t="shared" ca="1" si="56"/>
        <v>209629430.51291126</v>
      </c>
      <c r="DU48" s="200">
        <f t="shared" ref="DU48:DX48" ca="1" si="57">DU37+SUM(DU39:DU47)</f>
        <v>215889619.99364436</v>
      </c>
      <c r="DV48" s="200">
        <f t="shared" ca="1" si="57"/>
        <v>219925025.077016</v>
      </c>
      <c r="DW48" s="200">
        <f t="shared" ca="1" si="57"/>
        <v>224370930.97018173</v>
      </c>
      <c r="DX48" s="200">
        <f t="shared" ca="1" si="57"/>
        <v>229243219.67845047</v>
      </c>
    </row>
    <row r="49" spans="1:129" ht="10.199999999999999">
      <c r="A49" s="111"/>
      <c r="B49" s="107"/>
      <c r="C49" s="107"/>
      <c r="D49" s="107"/>
      <c r="E49" s="107"/>
      <c r="F49" s="107"/>
      <c r="G49" s="107"/>
      <c r="H49" s="183"/>
      <c r="I49" s="183"/>
      <c r="J49" s="183"/>
      <c r="K49" s="183"/>
      <c r="L49" s="183"/>
      <c r="M49" s="183"/>
      <c r="N49" s="183"/>
      <c r="O49" s="183"/>
      <c r="P49" s="183"/>
      <c r="Q49" s="202"/>
      <c r="R49" s="202"/>
      <c r="S49" s="202"/>
      <c r="T49" s="587"/>
      <c r="U49" s="201"/>
      <c r="V49" s="201"/>
      <c r="W49" s="201"/>
      <c r="X49" s="201"/>
      <c r="Y49" s="201"/>
      <c r="Z49" s="201"/>
      <c r="AA49" s="33"/>
      <c r="AB49" s="111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4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  <c r="DT49" s="203"/>
      <c r="DU49" s="203"/>
      <c r="DV49" s="203"/>
      <c r="DW49" s="203"/>
      <c r="DX49" s="203"/>
    </row>
    <row r="50" spans="1:129" ht="10.199999999999999">
      <c r="A50" s="113" t="s">
        <v>38</v>
      </c>
      <c r="B50" s="118"/>
      <c r="C50" s="118"/>
      <c r="D50" s="118"/>
      <c r="E50" s="118"/>
      <c r="F50" s="118"/>
      <c r="G50" s="118"/>
      <c r="H50" s="93">
        <f>BD50</f>
        <v>0</v>
      </c>
      <c r="I50" s="93">
        <f>BH50</f>
        <v>0</v>
      </c>
      <c r="J50" s="93">
        <f>BL50</f>
        <v>0</v>
      </c>
      <c r="K50" s="93">
        <f>BP50</f>
        <v>0</v>
      </c>
      <c r="L50" s="93">
        <f>BT50</f>
        <v>0</v>
      </c>
      <c r="M50" s="93">
        <f>BX50</f>
        <v>0</v>
      </c>
      <c r="N50" s="93">
        <f>CB50</f>
        <v>538972.96355460002</v>
      </c>
      <c r="O50" s="93">
        <f>CF50</f>
        <v>151094.10426164002</v>
      </c>
      <c r="P50" s="93">
        <f>CJ50</f>
        <v>180204.26490679971</v>
      </c>
      <c r="Q50" s="92">
        <f>CN50</f>
        <v>551592.18414857646</v>
      </c>
      <c r="R50" s="92">
        <f>CR50</f>
        <v>511592.62351534935</v>
      </c>
      <c r="S50" s="92">
        <f>CV50</f>
        <v>646570</v>
      </c>
      <c r="T50" s="586">
        <f>CZ50</f>
        <v>601737</v>
      </c>
      <c r="U50" s="91">
        <f ca="1">DD50</f>
        <v>1166004.1681821884</v>
      </c>
      <c r="V50" s="91">
        <f ca="1">DH50</f>
        <v>1370853.4114937529</v>
      </c>
      <c r="W50" s="91">
        <f ca="1">DL50</f>
        <v>1610177.1138130927</v>
      </c>
      <c r="X50" s="91">
        <f ca="1">DP50</f>
        <v>1889756.8221340049</v>
      </c>
      <c r="Y50" s="91">
        <f ca="1">DT50</f>
        <v>2210733.5017230739</v>
      </c>
      <c r="Z50" s="91">
        <f ca="1">DX50</f>
        <v>2584831.6705573425</v>
      </c>
      <c r="AA50" s="33"/>
      <c r="AB50" s="113" t="str">
        <f>A50</f>
        <v>Minority interest</v>
      </c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204">
        <v>344518.41564967</v>
      </c>
      <c r="BZ50" s="204">
        <v>417244.64214439993</v>
      </c>
      <c r="CA50" s="204">
        <v>495096.17332083994</v>
      </c>
      <c r="CB50" s="204">
        <v>538972.96355460002</v>
      </c>
      <c r="CC50" s="204">
        <v>515575.10023323004</v>
      </c>
      <c r="CD50" s="204">
        <v>551243.08424807992</v>
      </c>
      <c r="CE50" s="204">
        <v>642531.11533649999</v>
      </c>
      <c r="CF50" s="204">
        <v>151094.10426164002</v>
      </c>
      <c r="CG50" s="204">
        <v>151189.19332868003</v>
      </c>
      <c r="CH50" s="204">
        <v>158339.38316492998</v>
      </c>
      <c r="CI50" s="204">
        <v>167861.02710546963</v>
      </c>
      <c r="CJ50" s="204">
        <v>180204.26490679971</v>
      </c>
      <c r="CK50" s="204">
        <v>200885.33720870997</v>
      </c>
      <c r="CL50" s="204">
        <v>283077.1651187301</v>
      </c>
      <c r="CM50" s="204">
        <v>332605.31856756005</v>
      </c>
      <c r="CN50" s="204">
        <v>551592.18414857646</v>
      </c>
      <c r="CO50" s="204">
        <v>507281.12813297985</v>
      </c>
      <c r="CP50" s="204">
        <v>515303.67241470009</v>
      </c>
      <c r="CQ50" s="204">
        <v>517641.56292767194</v>
      </c>
      <c r="CR50" s="204">
        <v>511592.62351534935</v>
      </c>
      <c r="CS50" s="204">
        <v>870078</v>
      </c>
      <c r="CT50" s="204">
        <v>826144</v>
      </c>
      <c r="CU50" s="204">
        <v>665812</v>
      </c>
      <c r="CV50" s="204">
        <v>646570</v>
      </c>
      <c r="CW50" s="204">
        <v>601129</v>
      </c>
      <c r="CX50" s="204">
        <v>601955</v>
      </c>
      <c r="CY50" s="204">
        <v>594906</v>
      </c>
      <c r="CZ50" s="204">
        <v>601737</v>
      </c>
      <c r="DA50" s="203">
        <f>Assumptions!DA86*'Balance Sheet'!CZ58</f>
        <v>1048320.9750000001</v>
      </c>
      <c r="DB50" s="203">
        <f ca="1">Assumptions!DB86*'Balance Sheet'!DA58</f>
        <v>1051599.560713667</v>
      </c>
      <c r="DC50" s="203">
        <f ca="1">Assumptions!DC86*'Balance Sheet'!DB58</f>
        <v>1106943.0412267053</v>
      </c>
      <c r="DD50" s="203">
        <f ca="1">Assumptions!DD86*'Balance Sheet'!DC58</f>
        <v>1166004.1681821884</v>
      </c>
      <c r="DE50" s="203">
        <f ca="1">Assumptions!DE86*'Balance Sheet'!DD58</f>
        <v>1226766.2138709624</v>
      </c>
      <c r="DF50" s="203">
        <f ca="1">Assumptions!DF86*'Balance Sheet'!DE58</f>
        <v>1234815.9183039856</v>
      </c>
      <c r="DG50" s="203">
        <f ca="1">Assumptions!DG86*'Balance Sheet'!DF58</f>
        <v>1302117.4407185907</v>
      </c>
      <c r="DH50" s="203">
        <f ca="1">Assumptions!DH86*'Balance Sheet'!DG58</f>
        <v>1370853.4114937529</v>
      </c>
      <c r="DI50" s="203">
        <f ca="1">Assumptions!DI86*'Balance Sheet'!DH58</f>
        <v>1440759.9321613559</v>
      </c>
      <c r="DJ50" s="203">
        <f ca="1">Assumptions!DJ86*'Balance Sheet'!DI58</f>
        <v>1448444.0067383943</v>
      </c>
      <c r="DK50" s="203">
        <f ca="1">Assumptions!DK86*'Balance Sheet'!DJ58</f>
        <v>1527867.2161472363</v>
      </c>
      <c r="DL50" s="203">
        <f ca="1">Assumptions!DL86*'Balance Sheet'!DK58</f>
        <v>1610177.1138130927</v>
      </c>
      <c r="DM50" s="203">
        <f ca="1">Assumptions!DM86*'Balance Sheet'!DL58</f>
        <v>1694835.5989106132</v>
      </c>
      <c r="DN50" s="203">
        <f ca="1">Assumptions!DN86*'Balance Sheet'!DM58</f>
        <v>1704178.860489161</v>
      </c>
      <c r="DO50" s="203">
        <f ca="1">Assumptions!DO86*'Balance Sheet'!DN58</f>
        <v>1795921.0041604165</v>
      </c>
      <c r="DP50" s="203">
        <f ca="1">Assumptions!DP86*'Balance Sheet'!DO58</f>
        <v>1889756.8221340049</v>
      </c>
      <c r="DQ50" s="203">
        <f ca="1">Assumptions!DQ86*'Balance Sheet'!DP58</f>
        <v>1984634.6000866794</v>
      </c>
      <c r="DR50" s="203">
        <f ca="1">Assumptions!DR86*'Balance Sheet'!DQ58</f>
        <v>1994564.221989169</v>
      </c>
      <c r="DS50" s="203">
        <f ca="1">Assumptions!DS86*'Balance Sheet'!DR58</f>
        <v>2100998.6007733573</v>
      </c>
      <c r="DT50" s="203">
        <f ca="1">Assumptions!DT86*'Balance Sheet'!DS58</f>
        <v>2210733.5017230739</v>
      </c>
      <c r="DU50" s="203">
        <f ca="1">Assumptions!DU86*'Balance Sheet'!DT58</f>
        <v>2321843.4955920586</v>
      </c>
      <c r="DV50" s="203">
        <f ca="1">Assumptions!DV86*'Balance Sheet'!DU58</f>
        <v>2333932.9739129883</v>
      </c>
      <c r="DW50" s="203">
        <f ca="1">Assumptions!DW86*'Balance Sheet'!DV58</f>
        <v>2457795.0474703452</v>
      </c>
      <c r="DX50" s="203">
        <f ca="1">Assumptions!DX86*'Balance Sheet'!DW58</f>
        <v>2584831.6705573425</v>
      </c>
      <c r="DY50" s="203"/>
    </row>
    <row r="51" spans="1:129" ht="10.199999999999999">
      <c r="A51" s="102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122"/>
      <c r="R51" s="122"/>
      <c r="S51" s="122"/>
      <c r="T51" s="585"/>
      <c r="U51" s="121"/>
      <c r="V51" s="121"/>
      <c r="W51" s="121"/>
      <c r="X51" s="121"/>
      <c r="Y51" s="121"/>
      <c r="Z51" s="121"/>
      <c r="AA51" s="33"/>
      <c r="AB51" s="102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585"/>
      <c r="CY51" s="585"/>
      <c r="CZ51" s="585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</row>
    <row r="52" spans="1:129" ht="10.199999999999999">
      <c r="A52" s="113" t="s">
        <v>188</v>
      </c>
      <c r="B52" s="118"/>
      <c r="C52" s="118"/>
      <c r="D52" s="118"/>
      <c r="E52" s="118"/>
      <c r="F52" s="118"/>
      <c r="G52" s="118"/>
      <c r="H52" s="93">
        <f t="shared" ref="H52:H58" si="58">BD52</f>
        <v>0</v>
      </c>
      <c r="I52" s="93">
        <f t="shared" ref="I52:I58" si="59">BH52</f>
        <v>0</v>
      </c>
      <c r="J52" s="93">
        <f t="shared" ref="J52:J58" si="60">BL52</f>
        <v>0</v>
      </c>
      <c r="K52" s="93">
        <f t="shared" ref="K52:K58" si="61">BP52</f>
        <v>0</v>
      </c>
      <c r="L52" s="93">
        <f t="shared" ref="L52:L57" si="62">BT52</f>
        <v>0</v>
      </c>
      <c r="M52" s="93">
        <f t="shared" ref="M52:M57" si="63">BX52</f>
        <v>0</v>
      </c>
      <c r="N52" s="93">
        <f t="shared" ref="N52:N58" si="64">CB52</f>
        <v>1363824.4807077993</v>
      </c>
      <c r="O52" s="93">
        <f t="shared" ref="O52:O58" si="65">CF52</f>
        <v>1325599.6422650001</v>
      </c>
      <c r="P52" s="93">
        <f t="shared" ref="P52:P58" si="66">CJ52</f>
        <v>1272273.6331600002</v>
      </c>
      <c r="Q52" s="92">
        <f t="shared" ref="Q52:Q58" si="67">CN52</f>
        <v>1203374.5417499987</v>
      </c>
      <c r="R52" s="92">
        <f t="shared" ref="R52:R58" si="68">CR52</f>
        <v>1318992.8800749986</v>
      </c>
      <c r="S52" s="92">
        <f t="shared" ref="S52:S58" si="69">CV52</f>
        <v>1318993</v>
      </c>
      <c r="T52" s="586">
        <f t="shared" ref="T52:T58" si="70">CZ52</f>
        <v>1318993</v>
      </c>
      <c r="U52" s="91">
        <f t="shared" ref="U52:U58" si="71">DD52</f>
        <v>1318993</v>
      </c>
      <c r="V52" s="91">
        <f t="shared" ref="V52:V58" si="72">DH52</f>
        <v>1318993</v>
      </c>
      <c r="W52" s="91">
        <f t="shared" ref="W52:W58" si="73">DL52</f>
        <v>1318993</v>
      </c>
      <c r="X52" s="91">
        <f t="shared" ref="X52:X58" si="74">DP52</f>
        <v>1318993</v>
      </c>
      <c r="Y52" s="91">
        <f t="shared" ref="Y52:Y58" si="75">DT52</f>
        <v>1318993</v>
      </c>
      <c r="Z52" s="91">
        <f t="shared" ref="Z52:Z58" si="76">DX52</f>
        <v>1318993</v>
      </c>
      <c r="AA52" s="33"/>
      <c r="AB52" s="113" t="str">
        <f t="shared" ref="AB52:AB58" si="77">A52</f>
        <v>Capital stock</v>
      </c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09">
        <v>1491522.8602166099</v>
      </c>
      <c r="BZ52" s="109">
        <v>1420453.8708800992</v>
      </c>
      <c r="CA52" s="109">
        <v>1360993.0111399996</v>
      </c>
      <c r="CB52" s="109">
        <v>1363824.4807077993</v>
      </c>
      <c r="CC52" s="109">
        <v>1340700.8130418195</v>
      </c>
      <c r="CD52" s="109">
        <v>1333622.1392665193</v>
      </c>
      <c r="CE52" s="109">
        <v>1315217.5874507392</v>
      </c>
      <c r="CF52" s="109">
        <v>1325599.6422650001</v>
      </c>
      <c r="CG52" s="109">
        <v>1323240.08428392</v>
      </c>
      <c r="CH52" s="109">
        <v>1297284.947165</v>
      </c>
      <c r="CI52" s="109">
        <v>1308610.8252050001</v>
      </c>
      <c r="CJ52" s="109">
        <v>1272273.6331600002</v>
      </c>
      <c r="CK52" s="109">
        <v>1258588.1971949961</v>
      </c>
      <c r="CL52" s="109">
        <v>1260476.0925790374</v>
      </c>
      <c r="CM52" s="109">
        <v>1226026.2981417566</v>
      </c>
      <c r="CN52" s="109">
        <v>1203374.5417499987</v>
      </c>
      <c r="CO52" s="109">
        <v>1221779.0935649986</v>
      </c>
      <c r="CP52" s="109">
        <v>1312858.0294699986</v>
      </c>
      <c r="CQ52" s="109">
        <v>1312858.0294616148</v>
      </c>
      <c r="CR52" s="109">
        <v>1318992.8800749986</v>
      </c>
      <c r="CS52" s="109">
        <v>1318993</v>
      </c>
      <c r="CT52" s="109">
        <v>1318993</v>
      </c>
      <c r="CU52" s="109">
        <v>1318993</v>
      </c>
      <c r="CV52" s="109">
        <v>1318993</v>
      </c>
      <c r="CW52" s="109">
        <v>1318993</v>
      </c>
      <c r="CX52" s="204">
        <v>1318993</v>
      </c>
      <c r="CY52" s="204">
        <v>1318993</v>
      </c>
      <c r="CZ52" s="204">
        <v>1318993</v>
      </c>
      <c r="DA52" s="203">
        <f t="shared" ref="DA52" si="78">CZ52+DA100</f>
        <v>1318993</v>
      </c>
      <c r="DB52" s="203">
        <f t="shared" ref="DB52" si="79">DA52+DB100</f>
        <v>1318993</v>
      </c>
      <c r="DC52" s="203">
        <f t="shared" ref="DC52" si="80">DB52+DC100</f>
        <v>1318993</v>
      </c>
      <c r="DD52" s="203">
        <f t="shared" ref="DD52" si="81">DC52+DD100</f>
        <v>1318993</v>
      </c>
      <c r="DE52" s="203">
        <f t="shared" ref="DE52" si="82">DD52+DE100</f>
        <v>1318993</v>
      </c>
      <c r="DF52" s="203">
        <f t="shared" ref="DF52" si="83">DE52+DF100</f>
        <v>1318993</v>
      </c>
      <c r="DG52" s="203">
        <f t="shared" ref="DG52" si="84">DF52+DG100</f>
        <v>1318993</v>
      </c>
      <c r="DH52" s="203">
        <f t="shared" ref="DH52" si="85">DG52+DH100</f>
        <v>1318993</v>
      </c>
      <c r="DI52" s="203">
        <f t="shared" ref="DI52" si="86">DH52+DI100</f>
        <v>1318993</v>
      </c>
      <c r="DJ52" s="203">
        <f t="shared" ref="DJ52" si="87">DI52+DJ100</f>
        <v>1318993</v>
      </c>
      <c r="DK52" s="203">
        <f t="shared" ref="DK52" si="88">DJ52+DK100</f>
        <v>1318993</v>
      </c>
      <c r="DL52" s="203">
        <f t="shared" ref="DL52" si="89">DK52+DL100</f>
        <v>1318993</v>
      </c>
      <c r="DM52" s="203">
        <f t="shared" ref="DM52" si="90">DL52+DM100</f>
        <v>1318993</v>
      </c>
      <c r="DN52" s="203">
        <f t="shared" ref="DN52" si="91">DM52+DN100</f>
        <v>1318993</v>
      </c>
      <c r="DO52" s="203">
        <f t="shared" ref="DO52" si="92">DN52+DO100</f>
        <v>1318993</v>
      </c>
      <c r="DP52" s="203">
        <f t="shared" ref="DP52" si="93">DO52+DP100</f>
        <v>1318993</v>
      </c>
      <c r="DQ52" s="203">
        <f t="shared" ref="DQ52" si="94">DP52+DQ100</f>
        <v>1318993</v>
      </c>
      <c r="DR52" s="203">
        <f t="shared" ref="DR52" si="95">DQ52+DR100</f>
        <v>1318993</v>
      </c>
      <c r="DS52" s="203">
        <f t="shared" ref="DS52" si="96">DR52+DS100</f>
        <v>1318993</v>
      </c>
      <c r="DT52" s="203">
        <f t="shared" ref="DT52" si="97">DS52+DT100</f>
        <v>1318993</v>
      </c>
      <c r="DU52" s="203">
        <f t="shared" ref="DU52" si="98">DT52+DU100</f>
        <v>1318993</v>
      </c>
      <c r="DV52" s="203">
        <f t="shared" ref="DV52" si="99">DU52+DV100</f>
        <v>1318993</v>
      </c>
      <c r="DW52" s="203">
        <f t="shared" ref="DW52" si="100">DV52+DW100</f>
        <v>1318993</v>
      </c>
      <c r="DX52" s="203">
        <f t="shared" ref="DX52" si="101">DW52+DX100</f>
        <v>1318993</v>
      </c>
    </row>
    <row r="53" spans="1:129" ht="10.199999999999999">
      <c r="A53" s="113" t="s">
        <v>187</v>
      </c>
      <c r="B53" s="118"/>
      <c r="C53" s="118"/>
      <c r="D53" s="118"/>
      <c r="E53" s="118"/>
      <c r="F53" s="118"/>
      <c r="G53" s="118"/>
      <c r="H53" s="93">
        <f t="shared" si="58"/>
        <v>0</v>
      </c>
      <c r="I53" s="93">
        <f t="shared" si="59"/>
        <v>0</v>
      </c>
      <c r="J53" s="93">
        <f t="shared" si="60"/>
        <v>0</v>
      </c>
      <c r="K53" s="93">
        <f t="shared" si="61"/>
        <v>0</v>
      </c>
      <c r="L53" s="93">
        <f t="shared" si="62"/>
        <v>0</v>
      </c>
      <c r="M53" s="93">
        <f t="shared" si="63"/>
        <v>0</v>
      </c>
      <c r="N53" s="93">
        <f t="shared" si="64"/>
        <v>-214558.29625000001</v>
      </c>
      <c r="O53" s="93">
        <f t="shared" si="65"/>
        <v>-209864.83291103001</v>
      </c>
      <c r="P53" s="93">
        <f t="shared" si="66"/>
        <v>-201868.93128088003</v>
      </c>
      <c r="Q53" s="92">
        <f t="shared" si="67"/>
        <v>-190306.98959999997</v>
      </c>
      <c r="R53" s="92">
        <f t="shared" si="68"/>
        <v>-208127.17903704999</v>
      </c>
      <c r="S53" s="92">
        <f t="shared" si="69"/>
        <v>-208184</v>
      </c>
      <c r="T53" s="586">
        <f t="shared" si="70"/>
        <v>-208978</v>
      </c>
      <c r="U53" s="91">
        <f t="shared" si="71"/>
        <v>-208978</v>
      </c>
      <c r="V53" s="91">
        <f t="shared" si="72"/>
        <v>-208978</v>
      </c>
      <c r="W53" s="91">
        <f t="shared" si="73"/>
        <v>-208978</v>
      </c>
      <c r="X53" s="91">
        <f t="shared" si="74"/>
        <v>-208978</v>
      </c>
      <c r="Y53" s="91">
        <f t="shared" si="75"/>
        <v>-208978</v>
      </c>
      <c r="Z53" s="91">
        <f t="shared" si="76"/>
        <v>-208978</v>
      </c>
      <c r="AA53" s="33"/>
      <c r="AB53" s="113" t="str">
        <f t="shared" si="77"/>
        <v>Treasury stock</v>
      </c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09">
        <v>-231090.04162500001</v>
      </c>
      <c r="BZ53" s="109">
        <v>-220050.94124999997</v>
      </c>
      <c r="CA53" s="109">
        <v>-214112.84649999999</v>
      </c>
      <c r="CB53" s="109">
        <v>-214558.29625000001</v>
      </c>
      <c r="CC53" s="109">
        <v>-213330.448515</v>
      </c>
      <c r="CD53" s="109">
        <v>-211134.92979942</v>
      </c>
      <c r="CE53" s="109">
        <v>-208221.17811429</v>
      </c>
      <c r="CF53" s="109">
        <v>-209864.83291103001</v>
      </c>
      <c r="CG53" s="109">
        <v>-211016.51556947999</v>
      </c>
      <c r="CH53" s="109">
        <v>-205837.42288247004</v>
      </c>
      <c r="CI53" s="109">
        <v>-207634.47568319002</v>
      </c>
      <c r="CJ53" s="109">
        <v>-201868.93128088003</v>
      </c>
      <c r="CK53" s="109">
        <v>-199153.47413954997</v>
      </c>
      <c r="CL53" s="109">
        <v>-199337.24280528998</v>
      </c>
      <c r="CM53" s="109">
        <v>-193889.23879001997</v>
      </c>
      <c r="CN53" s="109">
        <v>-190306.98959999997</v>
      </c>
      <c r="CO53" s="109">
        <v>-193937.77078437002</v>
      </c>
      <c r="CP53" s="109">
        <v>-207159.14564618</v>
      </c>
      <c r="CQ53" s="109">
        <v>-207159.14564618</v>
      </c>
      <c r="CR53" s="109">
        <v>-208127.17903704999</v>
      </c>
      <c r="CS53" s="109">
        <v>-207444</v>
      </c>
      <c r="CT53" s="109">
        <v>-208176</v>
      </c>
      <c r="CU53" s="109">
        <v>-208305</v>
      </c>
      <c r="CV53" s="109">
        <v>-208184</v>
      </c>
      <c r="CW53" s="109">
        <v>-209671</v>
      </c>
      <c r="CX53" s="586">
        <v>-208667</v>
      </c>
      <c r="CY53" s="586">
        <v>-208727</v>
      </c>
      <c r="CZ53" s="586">
        <v>-208978</v>
      </c>
      <c r="DA53" s="91">
        <f t="shared" ref="DA53:DP53" si="102">DA107</f>
        <v>-208978</v>
      </c>
      <c r="DB53" s="91">
        <f t="shared" si="102"/>
        <v>-208978</v>
      </c>
      <c r="DC53" s="91">
        <f t="shared" si="102"/>
        <v>-208978</v>
      </c>
      <c r="DD53" s="91">
        <f t="shared" si="102"/>
        <v>-208978</v>
      </c>
      <c r="DE53" s="91">
        <f t="shared" si="102"/>
        <v>-208978</v>
      </c>
      <c r="DF53" s="91">
        <f t="shared" si="102"/>
        <v>-208978</v>
      </c>
      <c r="DG53" s="91">
        <f t="shared" si="102"/>
        <v>-208978</v>
      </c>
      <c r="DH53" s="91">
        <f t="shared" si="102"/>
        <v>-208978</v>
      </c>
      <c r="DI53" s="91">
        <f t="shared" si="102"/>
        <v>-208978</v>
      </c>
      <c r="DJ53" s="91">
        <f t="shared" si="102"/>
        <v>-208978</v>
      </c>
      <c r="DK53" s="91">
        <f t="shared" si="102"/>
        <v>-208978</v>
      </c>
      <c r="DL53" s="91">
        <f t="shared" si="102"/>
        <v>-208978</v>
      </c>
      <c r="DM53" s="91">
        <f t="shared" si="102"/>
        <v>-208978</v>
      </c>
      <c r="DN53" s="91">
        <f t="shared" si="102"/>
        <v>-208978</v>
      </c>
      <c r="DO53" s="91">
        <f t="shared" si="102"/>
        <v>-208978</v>
      </c>
      <c r="DP53" s="91">
        <f t="shared" si="102"/>
        <v>-208978</v>
      </c>
      <c r="DQ53" s="91">
        <f t="shared" ref="DQ53:DT53" si="103">DQ107</f>
        <v>-208978</v>
      </c>
      <c r="DR53" s="91">
        <f t="shared" si="103"/>
        <v>-208978</v>
      </c>
      <c r="DS53" s="91">
        <f t="shared" si="103"/>
        <v>-208978</v>
      </c>
      <c r="DT53" s="91">
        <f t="shared" si="103"/>
        <v>-208978</v>
      </c>
      <c r="DU53" s="91">
        <f t="shared" ref="DU53:DX53" si="104">DU107</f>
        <v>-208978</v>
      </c>
      <c r="DV53" s="91">
        <f t="shared" si="104"/>
        <v>-208978</v>
      </c>
      <c r="DW53" s="91">
        <f t="shared" si="104"/>
        <v>-208978</v>
      </c>
      <c r="DX53" s="91">
        <f t="shared" si="104"/>
        <v>-208978</v>
      </c>
    </row>
    <row r="54" spans="1:129" ht="10.199999999999999">
      <c r="A54" s="113" t="s">
        <v>186</v>
      </c>
      <c r="B54" s="118"/>
      <c r="C54" s="118"/>
      <c r="D54" s="118"/>
      <c r="E54" s="118"/>
      <c r="F54" s="118"/>
      <c r="G54" s="118"/>
      <c r="H54" s="93">
        <f t="shared" si="58"/>
        <v>0</v>
      </c>
      <c r="I54" s="93">
        <f t="shared" si="59"/>
        <v>0</v>
      </c>
      <c r="J54" s="93">
        <f t="shared" si="60"/>
        <v>0</v>
      </c>
      <c r="K54" s="93">
        <f t="shared" si="61"/>
        <v>0</v>
      </c>
      <c r="L54" s="93">
        <f t="shared" si="62"/>
        <v>0</v>
      </c>
      <c r="M54" s="93">
        <f t="shared" si="63"/>
        <v>0</v>
      </c>
      <c r="N54" s="93">
        <f t="shared" si="64"/>
        <v>376684.27475500008</v>
      </c>
      <c r="O54" s="93">
        <f t="shared" si="65"/>
        <v>336061.01395777997</v>
      </c>
      <c r="P54" s="93">
        <f t="shared" si="66"/>
        <v>299647.60494575999</v>
      </c>
      <c r="Q54" s="92">
        <f t="shared" si="67"/>
        <v>275100.63209099998</v>
      </c>
      <c r="R54" s="92">
        <f t="shared" si="68"/>
        <v>275569.03463440004</v>
      </c>
      <c r="S54" s="92">
        <f t="shared" si="69"/>
        <v>302941</v>
      </c>
      <c r="T54" s="586">
        <f t="shared" si="70"/>
        <v>284171</v>
      </c>
      <c r="U54" s="91">
        <f t="shared" si="71"/>
        <v>284171</v>
      </c>
      <c r="V54" s="91">
        <f t="shared" si="72"/>
        <v>284171</v>
      </c>
      <c r="W54" s="91">
        <f t="shared" si="73"/>
        <v>284171</v>
      </c>
      <c r="X54" s="91">
        <f t="shared" si="74"/>
        <v>284171</v>
      </c>
      <c r="Y54" s="91">
        <f t="shared" si="75"/>
        <v>284171</v>
      </c>
      <c r="Z54" s="91">
        <f t="shared" si="76"/>
        <v>284171</v>
      </c>
      <c r="AA54" s="33"/>
      <c r="AB54" s="113" t="str">
        <f t="shared" si="77"/>
        <v>Capital surplus</v>
      </c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09">
        <v>444731.13881900004</v>
      </c>
      <c r="BZ54" s="109">
        <v>423486.46878999996</v>
      </c>
      <c r="CA54" s="109">
        <v>375902.23127800005</v>
      </c>
      <c r="CB54" s="109">
        <v>376684.27475500008</v>
      </c>
      <c r="CC54" s="109">
        <v>330085.49398872</v>
      </c>
      <c r="CD54" s="109">
        <v>338094.84707891993</v>
      </c>
      <c r="CE54" s="109">
        <v>333428.99462453992</v>
      </c>
      <c r="CF54" s="109">
        <v>336061.01395777997</v>
      </c>
      <c r="CG54" s="109">
        <v>305793.90526915999</v>
      </c>
      <c r="CH54" s="109">
        <v>309282.27663588</v>
      </c>
      <c r="CI54" s="109">
        <v>308205.78950838</v>
      </c>
      <c r="CJ54" s="109">
        <v>299647.60494575999</v>
      </c>
      <c r="CK54" s="109">
        <v>285416.09537951992</v>
      </c>
      <c r="CL54" s="109">
        <v>288154.42679022002</v>
      </c>
      <c r="CM54" s="109">
        <v>280278.99690437992</v>
      </c>
      <c r="CN54" s="109">
        <v>275100.63209099998</v>
      </c>
      <c r="CO54" s="109">
        <v>240901.18516493996</v>
      </c>
      <c r="CP54" s="109">
        <v>274287.31819424004</v>
      </c>
      <c r="CQ54" s="109">
        <v>274287.31821377843</v>
      </c>
      <c r="CR54" s="109">
        <v>275569.03463440004</v>
      </c>
      <c r="CS54" s="109">
        <v>289090</v>
      </c>
      <c r="CT54" s="109">
        <v>275032</v>
      </c>
      <c r="CU54" s="109">
        <v>299927</v>
      </c>
      <c r="CV54" s="109">
        <v>302941</v>
      </c>
      <c r="CW54" s="109">
        <v>259859</v>
      </c>
      <c r="CX54" s="204">
        <v>291479</v>
      </c>
      <c r="CY54" s="204">
        <v>290073</v>
      </c>
      <c r="CZ54" s="204">
        <v>284171</v>
      </c>
      <c r="DA54" s="203">
        <f t="shared" ref="DA54" si="105">CZ54</f>
        <v>284171</v>
      </c>
      <c r="DB54" s="203">
        <f t="shared" ref="DB54" si="106">DA54</f>
        <v>284171</v>
      </c>
      <c r="DC54" s="203">
        <f t="shared" ref="DC54" si="107">DB54</f>
        <v>284171</v>
      </c>
      <c r="DD54" s="203">
        <f t="shared" ref="DD54" si="108">DC54</f>
        <v>284171</v>
      </c>
      <c r="DE54" s="203">
        <f t="shared" ref="DE54" si="109">DD54</f>
        <v>284171</v>
      </c>
      <c r="DF54" s="203">
        <f t="shared" ref="DF54" si="110">DE54</f>
        <v>284171</v>
      </c>
      <c r="DG54" s="203">
        <f t="shared" ref="DG54" si="111">DF54</f>
        <v>284171</v>
      </c>
      <c r="DH54" s="203">
        <f t="shared" ref="DH54" si="112">DG54</f>
        <v>284171</v>
      </c>
      <c r="DI54" s="203">
        <f t="shared" ref="DI54" si="113">DH54</f>
        <v>284171</v>
      </c>
      <c r="DJ54" s="203">
        <f t="shared" ref="DJ54" si="114">DI54</f>
        <v>284171</v>
      </c>
      <c r="DK54" s="203">
        <f t="shared" ref="DK54" si="115">DJ54</f>
        <v>284171</v>
      </c>
      <c r="DL54" s="203">
        <f t="shared" ref="DL54" si="116">DK54</f>
        <v>284171</v>
      </c>
      <c r="DM54" s="203">
        <f t="shared" ref="DM54" si="117">DL54</f>
        <v>284171</v>
      </c>
      <c r="DN54" s="203">
        <f t="shared" ref="DN54" si="118">DM54</f>
        <v>284171</v>
      </c>
      <c r="DO54" s="203">
        <f t="shared" ref="DO54" si="119">DN54</f>
        <v>284171</v>
      </c>
      <c r="DP54" s="203">
        <f t="shared" ref="DP54" si="120">DO54</f>
        <v>284171</v>
      </c>
      <c r="DQ54" s="203">
        <f t="shared" ref="DQ54" si="121">DP54</f>
        <v>284171</v>
      </c>
      <c r="DR54" s="203">
        <f t="shared" ref="DR54" si="122">DQ54</f>
        <v>284171</v>
      </c>
      <c r="DS54" s="203">
        <f t="shared" ref="DS54" si="123">DR54</f>
        <v>284171</v>
      </c>
      <c r="DT54" s="203">
        <f t="shared" ref="DT54" si="124">DS54</f>
        <v>284171</v>
      </c>
      <c r="DU54" s="203">
        <f t="shared" ref="DU54" si="125">DT54</f>
        <v>284171</v>
      </c>
      <c r="DV54" s="203">
        <f t="shared" ref="DV54" si="126">DU54</f>
        <v>284171</v>
      </c>
      <c r="DW54" s="203">
        <f t="shared" ref="DW54" si="127">DV54</f>
        <v>284171</v>
      </c>
      <c r="DX54" s="203">
        <f t="shared" ref="DX54" si="128">DW54</f>
        <v>284171</v>
      </c>
    </row>
    <row r="55" spans="1:129" ht="10.199999999999999">
      <c r="A55" s="113" t="s">
        <v>185</v>
      </c>
      <c r="B55" s="118"/>
      <c r="C55" s="118"/>
      <c r="D55" s="118"/>
      <c r="E55" s="118"/>
      <c r="F55" s="118"/>
      <c r="G55" s="118"/>
      <c r="H55" s="93">
        <f t="shared" si="58"/>
        <v>0</v>
      </c>
      <c r="I55" s="93">
        <f t="shared" si="59"/>
        <v>0</v>
      </c>
      <c r="J55" s="93">
        <f t="shared" si="60"/>
        <v>0</v>
      </c>
      <c r="K55" s="93">
        <f t="shared" si="61"/>
        <v>0</v>
      </c>
      <c r="L55" s="93">
        <f t="shared" si="62"/>
        <v>0</v>
      </c>
      <c r="M55" s="93">
        <f t="shared" si="63"/>
        <v>0</v>
      </c>
      <c r="N55" s="93">
        <f t="shared" si="64"/>
        <v>3044596.8601058004</v>
      </c>
      <c r="O55" s="93">
        <f t="shared" si="65"/>
        <v>3890741.6266402104</v>
      </c>
      <c r="P55" s="93">
        <f t="shared" si="66"/>
        <v>4833713.8235592013</v>
      </c>
      <c r="Q55" s="92">
        <f t="shared" si="67"/>
        <v>5881730.2995134993</v>
      </c>
      <c r="R55" s="92">
        <f t="shared" si="68"/>
        <v>8115308.8728374001</v>
      </c>
      <c r="S55" s="92">
        <f t="shared" si="69"/>
        <v>9316314</v>
      </c>
      <c r="T55" s="586">
        <f t="shared" si="70"/>
        <v>11222405</v>
      </c>
      <c r="U55" s="91">
        <f t="shared" si="71"/>
        <v>11222405</v>
      </c>
      <c r="V55" s="91">
        <f t="shared" si="72"/>
        <v>11222405</v>
      </c>
      <c r="W55" s="91">
        <f t="shared" si="73"/>
        <v>11222405</v>
      </c>
      <c r="X55" s="91">
        <f t="shared" si="74"/>
        <v>11222405</v>
      </c>
      <c r="Y55" s="91">
        <f t="shared" si="75"/>
        <v>11222405</v>
      </c>
      <c r="Z55" s="91">
        <f t="shared" si="76"/>
        <v>11222405</v>
      </c>
      <c r="AA55" s="33"/>
      <c r="AB55" s="113" t="str">
        <f t="shared" si="77"/>
        <v>Reserves</v>
      </c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09">
        <v>3330093.6590984203</v>
      </c>
      <c r="BZ55" s="109">
        <v>3171016.1068921997</v>
      </c>
      <c r="CA55" s="109">
        <v>3038275.8977664802</v>
      </c>
      <c r="CB55" s="109">
        <v>3044596.8601058004</v>
      </c>
      <c r="CC55" s="109">
        <v>3935064.7779582902</v>
      </c>
      <c r="CD55" s="109">
        <v>3914288.3007779401</v>
      </c>
      <c r="CE55" s="109">
        <v>3860269.4601090299</v>
      </c>
      <c r="CF55" s="109">
        <v>3890741.6266402104</v>
      </c>
      <c r="CG55" s="109">
        <v>5025386.44339824</v>
      </c>
      <c r="CH55" s="109">
        <v>4928738.6131173009</v>
      </c>
      <c r="CI55" s="109">
        <v>4971768.7065021005</v>
      </c>
      <c r="CJ55" s="109">
        <v>4833713.8235592013</v>
      </c>
      <c r="CK55" s="109">
        <v>6117694.1247752402</v>
      </c>
      <c r="CL55" s="109">
        <v>6137457.9342314694</v>
      </c>
      <c r="CM55" s="109">
        <v>5981081.4119047793</v>
      </c>
      <c r="CN55" s="109">
        <v>5881730.2995134993</v>
      </c>
      <c r="CO55" s="109">
        <v>7496578.6890805801</v>
      </c>
      <c r="CP55" s="109">
        <v>8051318.9549148213</v>
      </c>
      <c r="CQ55" s="109">
        <v>8064441.1025021998</v>
      </c>
      <c r="CR55" s="109">
        <v>8115308.8728374001</v>
      </c>
      <c r="CS55" s="109">
        <v>9314193</v>
      </c>
      <c r="CT55" s="109">
        <v>9288799</v>
      </c>
      <c r="CU55" s="109">
        <v>9303397</v>
      </c>
      <c r="CV55" s="109">
        <v>9316314</v>
      </c>
      <c r="CW55" s="109">
        <v>11133305</v>
      </c>
      <c r="CX55" s="204">
        <v>11112964</v>
      </c>
      <c r="CY55" s="204">
        <v>11127858</v>
      </c>
      <c r="CZ55" s="204">
        <v>11222405</v>
      </c>
      <c r="DA55" s="203">
        <f t="shared" ref="DA55:DP55" si="129">DA95</f>
        <v>11222405</v>
      </c>
      <c r="DB55" s="203">
        <f t="shared" si="129"/>
        <v>11222405</v>
      </c>
      <c r="DC55" s="203">
        <f t="shared" si="129"/>
        <v>11222405</v>
      </c>
      <c r="DD55" s="203">
        <f t="shared" si="129"/>
        <v>11222405</v>
      </c>
      <c r="DE55" s="203">
        <f t="shared" si="129"/>
        <v>11222405</v>
      </c>
      <c r="DF55" s="203">
        <f t="shared" si="129"/>
        <v>11222405</v>
      </c>
      <c r="DG55" s="203">
        <f t="shared" si="129"/>
        <v>11222405</v>
      </c>
      <c r="DH55" s="203">
        <f t="shared" si="129"/>
        <v>11222405</v>
      </c>
      <c r="DI55" s="203">
        <f t="shared" si="129"/>
        <v>11222405</v>
      </c>
      <c r="DJ55" s="203">
        <f t="shared" si="129"/>
        <v>11222405</v>
      </c>
      <c r="DK55" s="203">
        <f t="shared" si="129"/>
        <v>11222405</v>
      </c>
      <c r="DL55" s="203">
        <f t="shared" si="129"/>
        <v>11222405</v>
      </c>
      <c r="DM55" s="203">
        <f t="shared" si="129"/>
        <v>11222405</v>
      </c>
      <c r="DN55" s="203">
        <f t="shared" si="129"/>
        <v>11222405</v>
      </c>
      <c r="DO55" s="203">
        <f t="shared" si="129"/>
        <v>11222405</v>
      </c>
      <c r="DP55" s="203">
        <f t="shared" si="129"/>
        <v>11222405</v>
      </c>
      <c r="DQ55" s="203">
        <f t="shared" ref="DQ55:DT55" si="130">DQ95</f>
        <v>11222405</v>
      </c>
      <c r="DR55" s="203">
        <f t="shared" si="130"/>
        <v>11222405</v>
      </c>
      <c r="DS55" s="203">
        <f t="shared" si="130"/>
        <v>11222405</v>
      </c>
      <c r="DT55" s="203">
        <f t="shared" si="130"/>
        <v>11222405</v>
      </c>
      <c r="DU55" s="203">
        <f t="shared" ref="DU55:DX55" si="131">DU95</f>
        <v>11222405</v>
      </c>
      <c r="DV55" s="203">
        <f t="shared" si="131"/>
        <v>11222405</v>
      </c>
      <c r="DW55" s="203">
        <f t="shared" si="131"/>
        <v>11222405</v>
      </c>
      <c r="DX55" s="203">
        <f t="shared" si="131"/>
        <v>11222405</v>
      </c>
    </row>
    <row r="56" spans="1:129" ht="10.199999999999999">
      <c r="A56" s="113" t="s">
        <v>184</v>
      </c>
      <c r="B56" s="118"/>
      <c r="C56" s="118"/>
      <c r="D56" s="118"/>
      <c r="E56" s="118"/>
      <c r="F56" s="118"/>
      <c r="G56" s="118"/>
      <c r="H56" s="93">
        <f t="shared" si="58"/>
        <v>0</v>
      </c>
      <c r="I56" s="93">
        <f t="shared" si="59"/>
        <v>0</v>
      </c>
      <c r="J56" s="93">
        <f t="shared" si="60"/>
        <v>0</v>
      </c>
      <c r="K56" s="93">
        <f t="shared" si="61"/>
        <v>0</v>
      </c>
      <c r="L56" s="93">
        <f t="shared" si="62"/>
        <v>0</v>
      </c>
      <c r="M56" s="93">
        <f t="shared" si="63"/>
        <v>0</v>
      </c>
      <c r="N56" s="93">
        <f t="shared" si="64"/>
        <v>529807.85386095697</v>
      </c>
      <c r="O56" s="93">
        <f t="shared" si="65"/>
        <v>780748.63139566046</v>
      </c>
      <c r="P56" s="93">
        <f t="shared" si="66"/>
        <v>817567.7033907593</v>
      </c>
      <c r="Q56" s="92">
        <f t="shared" si="67"/>
        <v>1201235.6769056446</v>
      </c>
      <c r="R56" s="92">
        <f t="shared" si="68"/>
        <v>674960.78306635737</v>
      </c>
      <c r="S56" s="92">
        <f t="shared" si="69"/>
        <v>789940</v>
      </c>
      <c r="T56" s="586">
        <f t="shared" si="70"/>
        <v>421968</v>
      </c>
      <c r="U56" s="91">
        <f t="shared" si="71"/>
        <v>421968</v>
      </c>
      <c r="V56" s="91">
        <f t="shared" si="72"/>
        <v>421968</v>
      </c>
      <c r="W56" s="91">
        <f t="shared" si="73"/>
        <v>421968</v>
      </c>
      <c r="X56" s="91">
        <f t="shared" si="74"/>
        <v>421968</v>
      </c>
      <c r="Y56" s="91">
        <f t="shared" si="75"/>
        <v>421968</v>
      </c>
      <c r="Z56" s="91">
        <f t="shared" si="76"/>
        <v>421968</v>
      </c>
      <c r="AA56" s="33"/>
      <c r="AB56" s="113" t="str">
        <f t="shared" si="77"/>
        <v>Unrealized gains</v>
      </c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09">
        <v>-137814.53198035003</v>
      </c>
      <c r="BZ56" s="109">
        <v>209916.30302085035</v>
      </c>
      <c r="CA56" s="109">
        <v>390359.2198507156</v>
      </c>
      <c r="CB56" s="109">
        <v>529807.85386095697</v>
      </c>
      <c r="CC56" s="109">
        <v>721717.90780790988</v>
      </c>
      <c r="CD56" s="109">
        <v>561894.80531855079</v>
      </c>
      <c r="CE56" s="109">
        <v>812467.90930713026</v>
      </c>
      <c r="CF56" s="109">
        <v>780748.63139566046</v>
      </c>
      <c r="CG56" s="109">
        <v>832500.77032634022</v>
      </c>
      <c r="CH56" s="109">
        <v>762246.26360950887</v>
      </c>
      <c r="CI56" s="109">
        <v>654507.32729811955</v>
      </c>
      <c r="CJ56" s="109">
        <v>817567.7033907593</v>
      </c>
      <c r="CK56" s="109">
        <v>1198478.7767663198</v>
      </c>
      <c r="CL56" s="109">
        <v>1207125.210645142</v>
      </c>
      <c r="CM56" s="109">
        <v>1391149.2115158683</v>
      </c>
      <c r="CN56" s="109">
        <v>1201235.6769056446</v>
      </c>
      <c r="CO56" s="109">
        <v>1342674.7731280685</v>
      </c>
      <c r="CP56" s="109">
        <v>656217.75223594415</v>
      </c>
      <c r="CQ56" s="109">
        <v>699489.76931975735</v>
      </c>
      <c r="CR56" s="109">
        <v>674960.78306635737</v>
      </c>
      <c r="CS56" s="109">
        <v>580953</v>
      </c>
      <c r="CT56" s="109">
        <v>811774</v>
      </c>
      <c r="CU56" s="109">
        <v>734502</v>
      </c>
      <c r="CV56" s="109">
        <v>789940</v>
      </c>
      <c r="CW56" s="109">
        <v>853673</v>
      </c>
      <c r="CX56" s="586">
        <v>685935</v>
      </c>
      <c r="CY56" s="586">
        <v>256730</v>
      </c>
      <c r="CZ56" s="586">
        <v>421968</v>
      </c>
      <c r="DA56" s="91">
        <f t="shared" ref="DA56" si="132">CZ56</f>
        <v>421968</v>
      </c>
      <c r="DB56" s="91">
        <f t="shared" ref="DB56" si="133">DA56</f>
        <v>421968</v>
      </c>
      <c r="DC56" s="91">
        <f t="shared" ref="DC56" si="134">DB56</f>
        <v>421968</v>
      </c>
      <c r="DD56" s="91">
        <f t="shared" ref="DD56" si="135">DC56</f>
        <v>421968</v>
      </c>
      <c r="DE56" s="91">
        <f t="shared" ref="DE56" si="136">DD56</f>
        <v>421968</v>
      </c>
      <c r="DF56" s="91">
        <f t="shared" ref="DF56" si="137">DE56</f>
        <v>421968</v>
      </c>
      <c r="DG56" s="91">
        <f t="shared" ref="DG56" si="138">DF56</f>
        <v>421968</v>
      </c>
      <c r="DH56" s="91">
        <f t="shared" ref="DH56" si="139">DG56</f>
        <v>421968</v>
      </c>
      <c r="DI56" s="91">
        <f t="shared" ref="DI56" si="140">DH56</f>
        <v>421968</v>
      </c>
      <c r="DJ56" s="91">
        <f t="shared" ref="DJ56" si="141">DI56</f>
        <v>421968</v>
      </c>
      <c r="DK56" s="91">
        <f t="shared" ref="DK56" si="142">DJ56</f>
        <v>421968</v>
      </c>
      <c r="DL56" s="91">
        <f t="shared" ref="DL56" si="143">DK56</f>
        <v>421968</v>
      </c>
      <c r="DM56" s="91">
        <f t="shared" ref="DM56" si="144">DL56</f>
        <v>421968</v>
      </c>
      <c r="DN56" s="91">
        <f t="shared" ref="DN56" si="145">DM56</f>
        <v>421968</v>
      </c>
      <c r="DO56" s="91">
        <f t="shared" ref="DO56" si="146">DN56</f>
        <v>421968</v>
      </c>
      <c r="DP56" s="91">
        <f t="shared" ref="DP56" si="147">DO56</f>
        <v>421968</v>
      </c>
      <c r="DQ56" s="91">
        <f t="shared" ref="DQ56" si="148">DP56</f>
        <v>421968</v>
      </c>
      <c r="DR56" s="91">
        <f t="shared" ref="DR56" si="149">DQ56</f>
        <v>421968</v>
      </c>
      <c r="DS56" s="91">
        <f t="shared" ref="DS56" si="150">DR56</f>
        <v>421968</v>
      </c>
      <c r="DT56" s="91">
        <f t="shared" ref="DT56" si="151">DS56</f>
        <v>421968</v>
      </c>
      <c r="DU56" s="91">
        <f t="shared" ref="DU56" si="152">DT56</f>
        <v>421968</v>
      </c>
      <c r="DV56" s="91">
        <f t="shared" ref="DV56" si="153">DU56</f>
        <v>421968</v>
      </c>
      <c r="DW56" s="91">
        <f t="shared" ref="DW56" si="154">DV56</f>
        <v>421968</v>
      </c>
      <c r="DX56" s="91">
        <f t="shared" ref="DX56" si="155">DW56</f>
        <v>421968</v>
      </c>
    </row>
    <row r="57" spans="1:129" ht="10.199999999999999">
      <c r="A57" s="113" t="s">
        <v>168</v>
      </c>
      <c r="B57" s="118"/>
      <c r="C57" s="118"/>
      <c r="D57" s="118"/>
      <c r="E57" s="118"/>
      <c r="F57" s="118"/>
      <c r="G57" s="118"/>
      <c r="H57" s="93">
        <f t="shared" si="58"/>
        <v>0</v>
      </c>
      <c r="I57" s="93">
        <f t="shared" si="59"/>
        <v>0</v>
      </c>
      <c r="J57" s="93">
        <f t="shared" si="60"/>
        <v>0</v>
      </c>
      <c r="K57" s="93">
        <f t="shared" si="61"/>
        <v>0</v>
      </c>
      <c r="L57" s="93">
        <f t="shared" si="62"/>
        <v>0</v>
      </c>
      <c r="M57" s="93">
        <f t="shared" si="63"/>
        <v>0</v>
      </c>
      <c r="N57" s="93">
        <f t="shared" si="64"/>
        <v>1577237.781855545</v>
      </c>
      <c r="O57" s="93">
        <f t="shared" si="65"/>
        <v>1769700.906990899</v>
      </c>
      <c r="P57" s="93">
        <f t="shared" si="66"/>
        <v>2079666.8105890788</v>
      </c>
      <c r="Q57" s="92">
        <f t="shared" si="67"/>
        <v>2257183.980616855</v>
      </c>
      <c r="R57" s="92">
        <f t="shared" si="68"/>
        <v>1654807.6304278483</v>
      </c>
      <c r="S57" s="92">
        <f t="shared" si="69"/>
        <v>2459451</v>
      </c>
      <c r="T57" s="586">
        <f t="shared" si="70"/>
        <v>3089456</v>
      </c>
      <c r="U57" s="91">
        <f t="shared" ca="1" si="71"/>
        <v>5834767.3672455736</v>
      </c>
      <c r="V57" s="91">
        <f t="shared" ca="1" si="72"/>
        <v>9126978.4178670123</v>
      </c>
      <c r="W57" s="91">
        <f t="shared" ca="1" si="73"/>
        <v>13035834.829394052</v>
      </c>
      <c r="X57" s="91">
        <f t="shared" ca="1" si="74"/>
        <v>17494281.001333527</v>
      </c>
      <c r="Y57" s="91">
        <f t="shared" ca="1" si="75"/>
        <v>22682110.162954748</v>
      </c>
      <c r="Z57" s="91">
        <f t="shared" ca="1" si="76"/>
        <v>28711813.015105285</v>
      </c>
      <c r="AA57" s="33"/>
      <c r="AB57" s="113" t="str">
        <f t="shared" si="77"/>
        <v>Retained earnings</v>
      </c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8"/>
      <c r="BS57" s="118"/>
      <c r="BT57" s="118"/>
      <c r="BU57" s="118"/>
      <c r="BV57" s="118"/>
      <c r="BW57" s="118"/>
      <c r="BX57" s="118"/>
      <c r="BY57" s="109">
        <v>375402.74612410989</v>
      </c>
      <c r="BZ57" s="109">
        <v>812786.99199464975</v>
      </c>
      <c r="CA57" s="109">
        <v>1191796.5531787225</v>
      </c>
      <c r="CB57" s="109">
        <v>1577237.781855545</v>
      </c>
      <c r="CC57" s="109">
        <v>376145.06583647965</v>
      </c>
      <c r="CD57" s="109">
        <v>939077.85814914887</v>
      </c>
      <c r="CE57" s="109">
        <v>1381957.3063921477</v>
      </c>
      <c r="CF57" s="109">
        <v>1769700.906990899</v>
      </c>
      <c r="CG57" s="109">
        <v>576949.97890921973</v>
      </c>
      <c r="CH57" s="109">
        <v>1061675.77870146</v>
      </c>
      <c r="CI57" s="109">
        <v>1540816.1395871907</v>
      </c>
      <c r="CJ57" s="109">
        <v>2079666.8105890788</v>
      </c>
      <c r="CK57" s="109">
        <v>656814.69918617024</v>
      </c>
      <c r="CL57" s="109">
        <v>1122405.5606742313</v>
      </c>
      <c r="CM57" s="109">
        <v>1727239.3009951112</v>
      </c>
      <c r="CN57" s="109">
        <v>2257183.980616855</v>
      </c>
      <c r="CO57" s="109">
        <v>559159.20610849769</v>
      </c>
      <c r="CP57" s="109">
        <v>720901.51986409083</v>
      </c>
      <c r="CQ57" s="109">
        <v>1234227.9053007888</v>
      </c>
      <c r="CR57" s="109">
        <v>1654807.6304278483</v>
      </c>
      <c r="CS57" s="109">
        <v>662125</v>
      </c>
      <c r="CT57" s="109">
        <v>1320946</v>
      </c>
      <c r="CU57" s="109">
        <f>1965538-(1)</f>
        <v>1965537</v>
      </c>
      <c r="CV57" s="109">
        <v>2459451</v>
      </c>
      <c r="CW57" s="109">
        <v>851372</v>
      </c>
      <c r="CX57" s="204">
        <v>1603007</v>
      </c>
      <c r="CY57" s="204">
        <v>2368325</v>
      </c>
      <c r="CZ57" s="204">
        <v>3089456</v>
      </c>
      <c r="DA57" s="203">
        <f t="shared" ref="DA57:DX57" ca="1" si="156">DA88</f>
        <v>3139895.7802102608</v>
      </c>
      <c r="DB57" s="203">
        <f t="shared" ca="1" si="156"/>
        <v>3991333.9419493107</v>
      </c>
      <c r="DC57" s="203">
        <f t="shared" ca="1" si="156"/>
        <v>4899966.6643413603</v>
      </c>
      <c r="DD57" s="203">
        <f t="shared" ca="1" si="156"/>
        <v>5834767.3672455736</v>
      </c>
      <c r="DE57" s="203">
        <f t="shared" ca="1" si="156"/>
        <v>5958608.9739074698</v>
      </c>
      <c r="DF57" s="203">
        <f t="shared" ca="1" si="156"/>
        <v>6994017.0110552423</v>
      </c>
      <c r="DG57" s="203">
        <f t="shared" ca="1" si="156"/>
        <v>8051493.484519273</v>
      </c>
      <c r="DH57" s="203">
        <f t="shared" ca="1" si="156"/>
        <v>9126978.4178670123</v>
      </c>
      <c r="DI57" s="203">
        <f t="shared" ca="1" si="156"/>
        <v>9245194.9498214517</v>
      </c>
      <c r="DJ57" s="203">
        <f t="shared" ca="1" si="156"/>
        <v>10467090.479188249</v>
      </c>
      <c r="DK57" s="203">
        <f t="shared" ca="1" si="156"/>
        <v>11733396.597124502</v>
      </c>
      <c r="DL57" s="203">
        <f t="shared" ca="1" si="156"/>
        <v>13035834.829394052</v>
      </c>
      <c r="DM57" s="203">
        <f t="shared" ca="1" si="156"/>
        <v>13179577.315217862</v>
      </c>
      <c r="DN57" s="203">
        <f t="shared" ca="1" si="156"/>
        <v>14590994.910160255</v>
      </c>
      <c r="DO57" s="203">
        <f t="shared" ca="1" si="156"/>
        <v>16034622.878984688</v>
      </c>
      <c r="DP57" s="203">
        <f t="shared" ca="1" si="156"/>
        <v>17494281.001333527</v>
      </c>
      <c r="DQ57" s="203">
        <f t="shared" ca="1" si="156"/>
        <v>17647044.415217988</v>
      </c>
      <c r="DR57" s="203">
        <f t="shared" ca="1" si="156"/>
        <v>19284496.396513183</v>
      </c>
      <c r="DS57" s="203">
        <f t="shared" ca="1" si="156"/>
        <v>20972725.641893446</v>
      </c>
      <c r="DT57" s="203">
        <f t="shared" ca="1" si="156"/>
        <v>22682110.162954748</v>
      </c>
      <c r="DU57" s="203">
        <f t="shared" ca="1" si="156"/>
        <v>22868102.137122907</v>
      </c>
      <c r="DV57" s="203">
        <f t="shared" ca="1" si="156"/>
        <v>24773672.499543767</v>
      </c>
      <c r="DW57" s="203">
        <f t="shared" ca="1" si="156"/>
        <v>26728082.085497569</v>
      </c>
      <c r="DX57" s="203">
        <f t="shared" ca="1" si="156"/>
        <v>28711813.015105285</v>
      </c>
      <c r="DY57" s="203"/>
    </row>
    <row r="58" spans="1:129" s="106" customFormat="1" ht="10.199999999999999">
      <c r="A58" s="111" t="s">
        <v>183</v>
      </c>
      <c r="B58" s="107"/>
      <c r="C58" s="107"/>
      <c r="D58" s="107"/>
      <c r="E58" s="107"/>
      <c r="F58" s="107"/>
      <c r="G58" s="107"/>
      <c r="H58" s="183">
        <f t="shared" si="58"/>
        <v>0</v>
      </c>
      <c r="I58" s="183">
        <f t="shared" si="59"/>
        <v>0</v>
      </c>
      <c r="J58" s="183">
        <f t="shared" si="60"/>
        <v>0</v>
      </c>
      <c r="K58" s="183">
        <f t="shared" si="61"/>
        <v>0</v>
      </c>
      <c r="L58" s="183">
        <f>SUM(L52:L57)</f>
        <v>0</v>
      </c>
      <c r="M58" s="183">
        <f>SUM(M52:M57)</f>
        <v>0</v>
      </c>
      <c r="N58" s="183">
        <f t="shared" si="64"/>
        <v>6677592.9550351016</v>
      </c>
      <c r="O58" s="183">
        <f t="shared" si="65"/>
        <v>7892986.9883385198</v>
      </c>
      <c r="P58" s="183">
        <f t="shared" si="66"/>
        <v>9101000.6443639211</v>
      </c>
      <c r="Q58" s="202">
        <f t="shared" si="67"/>
        <v>10628318.141276997</v>
      </c>
      <c r="R58" s="202">
        <f t="shared" si="68"/>
        <v>11831512.022003954</v>
      </c>
      <c r="S58" s="202">
        <f t="shared" si="69"/>
        <v>13979455</v>
      </c>
      <c r="T58" s="587">
        <f t="shared" si="70"/>
        <v>16128015</v>
      </c>
      <c r="U58" s="201">
        <f t="shared" ca="1" si="71"/>
        <v>18873326.367245574</v>
      </c>
      <c r="V58" s="201">
        <f t="shared" ca="1" si="72"/>
        <v>22165537.417867012</v>
      </c>
      <c r="W58" s="201">
        <f t="shared" ca="1" si="73"/>
        <v>26074393.82939405</v>
      </c>
      <c r="X58" s="201">
        <f t="shared" ca="1" si="74"/>
        <v>30532840.001333527</v>
      </c>
      <c r="Y58" s="201">
        <f t="shared" ca="1" si="75"/>
        <v>35720669.162954748</v>
      </c>
      <c r="Z58" s="201">
        <f t="shared" ca="1" si="76"/>
        <v>41750372.015105285</v>
      </c>
      <c r="AA58" s="33"/>
      <c r="AB58" s="111" t="str">
        <f t="shared" si="77"/>
        <v>Net Shareholder's equity</v>
      </c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1">
        <f t="shared" ref="BY58:CQ58" si="157">SUM(BY52:BY57)</f>
        <v>5272845.8306527901</v>
      </c>
      <c r="BZ58" s="101">
        <f t="shared" si="157"/>
        <v>5817608.8003278002</v>
      </c>
      <c r="CA58" s="101">
        <f t="shared" si="157"/>
        <v>6143214.066713918</v>
      </c>
      <c r="CB58" s="101">
        <f t="shared" si="157"/>
        <v>6677592.9550351016</v>
      </c>
      <c r="CC58" s="101">
        <f t="shared" si="157"/>
        <v>6490383.6101182196</v>
      </c>
      <c r="CD58" s="101">
        <f t="shared" si="157"/>
        <v>6875843.0207916591</v>
      </c>
      <c r="CE58" s="101">
        <f t="shared" si="157"/>
        <v>7495120.0797692966</v>
      </c>
      <c r="CF58" s="101">
        <f t="shared" si="157"/>
        <v>7892986.9883385198</v>
      </c>
      <c r="CG58" s="101">
        <f t="shared" si="157"/>
        <v>7852854.6666174</v>
      </c>
      <c r="CH58" s="101">
        <f t="shared" si="157"/>
        <v>8153390.4563466804</v>
      </c>
      <c r="CI58" s="101">
        <f t="shared" si="157"/>
        <v>8576274.3124176003</v>
      </c>
      <c r="CJ58" s="101">
        <f t="shared" si="157"/>
        <v>9101000.6443639211</v>
      </c>
      <c r="CK58" s="101">
        <f t="shared" si="157"/>
        <v>9317838.4191626962</v>
      </c>
      <c r="CL58" s="101">
        <f t="shared" si="157"/>
        <v>9816281.9821148105</v>
      </c>
      <c r="CM58" s="101">
        <f t="shared" si="157"/>
        <v>10411885.980671875</v>
      </c>
      <c r="CN58" s="101">
        <f t="shared" si="157"/>
        <v>10628318.141276997</v>
      </c>
      <c r="CO58" s="101">
        <f t="shared" si="157"/>
        <v>10667155.176262714</v>
      </c>
      <c r="CP58" s="101">
        <f t="shared" si="157"/>
        <v>10808424.429032914</v>
      </c>
      <c r="CQ58" s="101">
        <f t="shared" si="157"/>
        <v>11378144.97915196</v>
      </c>
      <c r="CR58" s="101">
        <f t="shared" ref="CR58" si="158">SUM(CR52:CR57)</f>
        <v>11831512.022003954</v>
      </c>
      <c r="CS58" s="101">
        <f t="shared" ref="CS58:CT58" si="159">SUM(CS52:CS57)</f>
        <v>11957910</v>
      </c>
      <c r="CT58" s="101">
        <f t="shared" si="159"/>
        <v>12807368</v>
      </c>
      <c r="CU58" s="101">
        <f t="shared" ref="CU58:CV58" si="160">SUM(CU52:CU57)</f>
        <v>13414051</v>
      </c>
      <c r="CV58" s="101">
        <f t="shared" si="160"/>
        <v>13979455</v>
      </c>
      <c r="CW58" s="101">
        <f t="shared" ref="CW58:CX58" si="161">SUM(CW52:CW57)</f>
        <v>14207531</v>
      </c>
      <c r="CX58" s="117">
        <f t="shared" si="161"/>
        <v>14803711</v>
      </c>
      <c r="CY58" s="117">
        <f t="shared" ref="CY58:CZ58" si="162">SUM(CY52:CY57)</f>
        <v>15153252</v>
      </c>
      <c r="CZ58" s="117">
        <f t="shared" si="162"/>
        <v>16128015</v>
      </c>
      <c r="DA58" s="200">
        <f t="shared" ref="DA58:DP58" ca="1" si="163">SUM(DA52:DA57)</f>
        <v>16178454.78021026</v>
      </c>
      <c r="DB58" s="200">
        <f t="shared" ca="1" si="163"/>
        <v>17029892.941949312</v>
      </c>
      <c r="DC58" s="200">
        <f t="shared" ca="1" si="163"/>
        <v>17938525.66434136</v>
      </c>
      <c r="DD58" s="200">
        <f t="shared" ca="1" si="163"/>
        <v>18873326.367245574</v>
      </c>
      <c r="DE58" s="200">
        <f t="shared" ca="1" si="163"/>
        <v>18997167.973907471</v>
      </c>
      <c r="DF58" s="200">
        <f t="shared" ca="1" si="163"/>
        <v>20032576.011055242</v>
      </c>
      <c r="DG58" s="200">
        <f t="shared" ca="1" si="163"/>
        <v>21090052.484519273</v>
      </c>
      <c r="DH58" s="200">
        <f t="shared" ca="1" si="163"/>
        <v>22165537.417867012</v>
      </c>
      <c r="DI58" s="200">
        <f t="shared" ca="1" si="163"/>
        <v>22283753.94982145</v>
      </c>
      <c r="DJ58" s="200">
        <f t="shared" ca="1" si="163"/>
        <v>23505649.479188249</v>
      </c>
      <c r="DK58" s="200">
        <f t="shared" ca="1" si="163"/>
        <v>24771955.597124502</v>
      </c>
      <c r="DL58" s="200">
        <f t="shared" ca="1" si="163"/>
        <v>26074393.82939405</v>
      </c>
      <c r="DM58" s="200">
        <f t="shared" ca="1" si="163"/>
        <v>26218136.31521786</v>
      </c>
      <c r="DN58" s="200">
        <f t="shared" ca="1" si="163"/>
        <v>27629553.910160255</v>
      </c>
      <c r="DO58" s="200">
        <f t="shared" ca="1" si="163"/>
        <v>29073181.87898469</v>
      </c>
      <c r="DP58" s="200">
        <f t="shared" ca="1" si="163"/>
        <v>30532840.001333527</v>
      </c>
      <c r="DQ58" s="200">
        <f t="shared" ref="DQ58:DT58" ca="1" si="164">SUM(DQ52:DQ57)</f>
        <v>30685603.415217988</v>
      </c>
      <c r="DR58" s="200">
        <f t="shared" ca="1" si="164"/>
        <v>32323055.396513183</v>
      </c>
      <c r="DS58" s="200">
        <f t="shared" ca="1" si="164"/>
        <v>34011284.641893446</v>
      </c>
      <c r="DT58" s="200">
        <f t="shared" ca="1" si="164"/>
        <v>35720669.162954748</v>
      </c>
      <c r="DU58" s="200">
        <f t="shared" ref="DU58:DX58" ca="1" si="165">SUM(DU52:DU57)</f>
        <v>35906661.137122907</v>
      </c>
      <c r="DV58" s="200">
        <f t="shared" ca="1" si="165"/>
        <v>37812231.499543771</v>
      </c>
      <c r="DW58" s="200">
        <f t="shared" ca="1" si="165"/>
        <v>39766641.085497573</v>
      </c>
      <c r="DX58" s="200">
        <f t="shared" ca="1" si="165"/>
        <v>41750372.015105285</v>
      </c>
    </row>
    <row r="59" spans="1:129" ht="10.199999999999999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99"/>
      <c r="R59" s="199"/>
      <c r="S59" s="199"/>
      <c r="T59" s="596"/>
      <c r="U59" s="198"/>
      <c r="V59" s="198"/>
      <c r="W59" s="198"/>
      <c r="X59" s="198"/>
      <c r="Y59" s="198"/>
      <c r="Z59" s="198"/>
      <c r="AA59" s="33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98"/>
      <c r="BZ59" s="198"/>
      <c r="CA59" s="198"/>
      <c r="CB59" s="198"/>
      <c r="CC59" s="198"/>
      <c r="CD59" s="198"/>
      <c r="CE59" s="198"/>
      <c r="CF59" s="198"/>
      <c r="CG59" s="198"/>
      <c r="CH59" s="198"/>
      <c r="CI59" s="198"/>
      <c r="CJ59" s="198"/>
      <c r="CK59" s="198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596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</row>
    <row r="60" spans="1:129" ht="10.199999999999999">
      <c r="A60" s="195" t="s">
        <v>182</v>
      </c>
      <c r="B60" s="195"/>
      <c r="C60" s="195"/>
      <c r="D60" s="195"/>
      <c r="E60" s="195"/>
      <c r="F60" s="195"/>
      <c r="G60" s="195"/>
      <c r="H60" s="194">
        <f t="shared" ref="H60:X60" si="166">H48+H58+H50</f>
        <v>0</v>
      </c>
      <c r="I60" s="194">
        <f t="shared" si="166"/>
        <v>0</v>
      </c>
      <c r="J60" s="194">
        <f t="shared" si="166"/>
        <v>0</v>
      </c>
      <c r="K60" s="194">
        <f t="shared" si="166"/>
        <v>0</v>
      </c>
      <c r="L60" s="194">
        <f t="shared" si="166"/>
        <v>0</v>
      </c>
      <c r="M60" s="194">
        <f t="shared" si="166"/>
        <v>0</v>
      </c>
      <c r="N60" s="194">
        <f t="shared" si="166"/>
        <v>64002989.882728003</v>
      </c>
      <c r="O60" s="194">
        <f t="shared" si="166"/>
        <v>79920191.740467384</v>
      </c>
      <c r="P60" s="194">
        <f t="shared" si="166"/>
        <v>83350090.133278161</v>
      </c>
      <c r="Q60" s="197">
        <f t="shared" si="166"/>
        <v>104923911.92267807</v>
      </c>
      <c r="R60" s="197">
        <f t="shared" si="166"/>
        <v>114543465.23432599</v>
      </c>
      <c r="S60" s="197">
        <f t="shared" si="166"/>
        <v>135451412</v>
      </c>
      <c r="T60" s="597">
        <f t="shared" si="166"/>
        <v>155701719</v>
      </c>
      <c r="U60" s="196">
        <f t="shared" ca="1" si="166"/>
        <v>172678758.37389895</v>
      </c>
      <c r="V60" s="196">
        <f t="shared" ca="1" si="166"/>
        <v>188902947.06381118</v>
      </c>
      <c r="W60" s="196">
        <f t="shared" ca="1" si="166"/>
        <v>205993953.02063489</v>
      </c>
      <c r="X60" s="196">
        <f t="shared" ca="1" si="166"/>
        <v>225184426.94785723</v>
      </c>
      <c r="Y60" s="196">
        <f t="shared" ref="Y60:Z60" ca="1" si="167">Y48+Y58+Y50</f>
        <v>247560833.17758909</v>
      </c>
      <c r="Z60" s="196">
        <f t="shared" ca="1" si="167"/>
        <v>273578423.36411309</v>
      </c>
      <c r="AA60" s="33"/>
      <c r="AB60" s="195" t="str">
        <f>A60</f>
        <v>Total liabilities and net shareholder's</v>
      </c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195"/>
      <c r="BW60" s="195"/>
      <c r="BX60" s="195"/>
      <c r="BY60" s="194">
        <f t="shared" ref="BY60:CQ60" si="168">BY48+BY58+BY50</f>
        <v>66608781.717877895</v>
      </c>
      <c r="BZ60" s="194">
        <f t="shared" si="168"/>
        <v>62905539.71709349</v>
      </c>
      <c r="CA60" s="194">
        <f t="shared" si="168"/>
        <v>59907770.439252116</v>
      </c>
      <c r="CB60" s="194">
        <f t="shared" si="168"/>
        <v>64002989.882728003</v>
      </c>
      <c r="CC60" s="194">
        <f t="shared" si="168"/>
        <v>66710861.661759861</v>
      </c>
      <c r="CD60" s="194">
        <f t="shared" si="168"/>
        <v>67342204.419679359</v>
      </c>
      <c r="CE60" s="194">
        <f t="shared" si="168"/>
        <v>74134402.373207867</v>
      </c>
      <c r="CF60" s="194">
        <f t="shared" si="168"/>
        <v>79920191.740467384</v>
      </c>
      <c r="CG60" s="194">
        <f t="shared" si="168"/>
        <v>82256957.436806738</v>
      </c>
      <c r="CH60" s="194">
        <f t="shared" si="168"/>
        <v>81530614.52246058</v>
      </c>
      <c r="CI60" s="194">
        <f t="shared" si="168"/>
        <v>82236691.022792995</v>
      </c>
      <c r="CJ60" s="194">
        <f t="shared" si="168"/>
        <v>83350090.133278161</v>
      </c>
      <c r="CK60" s="194">
        <f t="shared" si="168"/>
        <v>91107449.625275493</v>
      </c>
      <c r="CL60" s="194">
        <f t="shared" si="168"/>
        <v>93694115.386091545</v>
      </c>
      <c r="CM60" s="194">
        <f t="shared" si="168"/>
        <v>97946595.015586868</v>
      </c>
      <c r="CN60" s="194">
        <f t="shared" si="168"/>
        <v>104923911.92267807</v>
      </c>
      <c r="CO60" s="194">
        <f t="shared" si="168"/>
        <v>110069890.93974669</v>
      </c>
      <c r="CP60" s="194">
        <f t="shared" si="168"/>
        <v>110860435.41657473</v>
      </c>
      <c r="CQ60" s="194">
        <f t="shared" si="168"/>
        <v>111818496.60027577</v>
      </c>
      <c r="CR60" s="194">
        <f t="shared" ref="CR60" si="169">CR48+CR58+CR50</f>
        <v>114543465.23432599</v>
      </c>
      <c r="CS60" s="194">
        <f t="shared" ref="CS60" si="170">CS48+CS58+CS50</f>
        <v>124013176</v>
      </c>
      <c r="CT60" s="194">
        <f t="shared" ref="CT60:CY60" si="171">CT48+CT58+CT50</f>
        <v>127141418</v>
      </c>
      <c r="CU60" s="194">
        <f t="shared" si="171"/>
        <v>132654031</v>
      </c>
      <c r="CV60" s="194">
        <f t="shared" si="171"/>
        <v>135451412</v>
      </c>
      <c r="CW60" s="194">
        <f t="shared" si="171"/>
        <v>140863892</v>
      </c>
      <c r="CX60" s="194">
        <f t="shared" si="171"/>
        <v>143239414</v>
      </c>
      <c r="CY60" s="194">
        <f t="shared" si="171"/>
        <v>152802680</v>
      </c>
      <c r="CZ60" s="597">
        <f t="shared" ref="CZ60" si="172">CZ48+CZ58+CZ50</f>
        <v>155701719</v>
      </c>
      <c r="DA60" s="193">
        <f t="shared" ref="DA60:DP60" ca="1" si="173">DA48+DA58+DA50</f>
        <v>166394055.94671872</v>
      </c>
      <c r="DB60" s="193">
        <f t="shared" ca="1" si="173"/>
        <v>165498785.43773034</v>
      </c>
      <c r="DC60" s="193">
        <f t="shared" ca="1" si="173"/>
        <v>172851028.07468897</v>
      </c>
      <c r="DD60" s="193">
        <f t="shared" ca="1" si="173"/>
        <v>172678758.37389895</v>
      </c>
      <c r="DE60" s="193">
        <f t="shared" ca="1" si="173"/>
        <v>180119012.61574483</v>
      </c>
      <c r="DF60" s="193">
        <f t="shared" ca="1" si="173"/>
        <v>180749637.45898902</v>
      </c>
      <c r="DG60" s="193">
        <f t="shared" ca="1" si="173"/>
        <v>188280413.03974655</v>
      </c>
      <c r="DH60" s="193">
        <f t="shared" ca="1" si="173"/>
        <v>188902947.06381118</v>
      </c>
      <c r="DI60" s="193">
        <f t="shared" ca="1" si="173"/>
        <v>196054603.29920614</v>
      </c>
      <c r="DJ60" s="193">
        <f t="shared" ca="1" si="173"/>
        <v>197336149.5610027</v>
      </c>
      <c r="DK60" s="193">
        <f t="shared" ca="1" si="173"/>
        <v>204606307.03799736</v>
      </c>
      <c r="DL60" s="193">
        <f t="shared" ca="1" si="173"/>
        <v>205993953.02063489</v>
      </c>
      <c r="DM60" s="193">
        <f t="shared" ca="1" si="173"/>
        <v>213137186.75873348</v>
      </c>
      <c r="DN60" s="193">
        <f t="shared" ca="1" si="173"/>
        <v>215436538.56627241</v>
      </c>
      <c r="DO60" s="193">
        <f t="shared" ca="1" si="173"/>
        <v>222660846.21732193</v>
      </c>
      <c r="DP60" s="193">
        <f t="shared" ca="1" si="173"/>
        <v>225184426.94785723</v>
      </c>
      <c r="DQ60" s="193">
        <f t="shared" ref="DQ60:DT60" ca="1" si="174">DQ48+DQ58+DQ50</f>
        <v>232250618.37817496</v>
      </c>
      <c r="DR60" s="193">
        <f t="shared" ca="1" si="174"/>
        <v>235902038.16621533</v>
      </c>
      <c r="DS60" s="193">
        <f t="shared" ca="1" si="174"/>
        <v>242920317.96623164</v>
      </c>
      <c r="DT60" s="193">
        <f t="shared" ca="1" si="174"/>
        <v>247560833.17758909</v>
      </c>
      <c r="DU60" s="193">
        <f t="shared" ref="DU60:DX60" ca="1" si="175">DU48+DU58+DU50</f>
        <v>254118124.62635931</v>
      </c>
      <c r="DV60" s="193">
        <f t="shared" ca="1" si="175"/>
        <v>260071189.55047277</v>
      </c>
      <c r="DW60" s="193">
        <f t="shared" ca="1" si="175"/>
        <v>266595367.10314965</v>
      </c>
      <c r="DX60" s="193">
        <f t="shared" ca="1" si="175"/>
        <v>273578423.36411309</v>
      </c>
    </row>
    <row r="61" spans="1:129" ht="10.199999999999999">
      <c r="A61" s="189"/>
      <c r="B61" s="189"/>
      <c r="C61" s="189"/>
      <c r="D61" s="189"/>
      <c r="E61" s="189"/>
      <c r="F61" s="189"/>
      <c r="G61" s="189"/>
      <c r="H61" s="192"/>
      <c r="I61" s="192"/>
      <c r="J61" s="192"/>
      <c r="K61" s="192"/>
      <c r="L61" s="192"/>
      <c r="M61" s="192"/>
      <c r="N61" s="192"/>
      <c r="O61" s="192"/>
      <c r="P61" s="192"/>
      <c r="Q61" s="191"/>
      <c r="R61" s="191"/>
      <c r="S61" s="191"/>
      <c r="T61" s="606"/>
      <c r="U61" s="190"/>
      <c r="V61" s="190"/>
      <c r="W61" s="190"/>
      <c r="X61" s="190"/>
      <c r="Y61" s="190"/>
      <c r="Z61" s="190"/>
      <c r="AA61" s="33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8"/>
      <c r="BZ61" s="188"/>
      <c r="CA61" s="188"/>
      <c r="CB61" s="188"/>
      <c r="CC61" s="188"/>
      <c r="CD61" s="188"/>
      <c r="CE61" s="188"/>
      <c r="CF61" s="188"/>
      <c r="CG61" s="188"/>
      <c r="CH61" s="188"/>
      <c r="CI61" s="188"/>
      <c r="CJ61" s="188"/>
      <c r="CK61" s="188"/>
      <c r="CL61" s="188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</row>
    <row r="62" spans="1:129" ht="10.199999999999999">
      <c r="A62" s="185" t="s">
        <v>181</v>
      </c>
      <c r="B62" s="107"/>
      <c r="C62" s="107"/>
      <c r="D62" s="107"/>
      <c r="E62" s="107"/>
      <c r="F62" s="107"/>
      <c r="G62" s="107"/>
      <c r="H62" s="184" t="str">
        <f t="shared" ref="H62:X62" si="176">IF(ROUND(H60,0.05)=ROUND(H31,0.05),"Ok",H60-H31)</f>
        <v>Ok</v>
      </c>
      <c r="I62" s="184" t="str">
        <f t="shared" si="176"/>
        <v>Ok</v>
      </c>
      <c r="J62" s="184" t="str">
        <f t="shared" si="176"/>
        <v>Ok</v>
      </c>
      <c r="K62" s="184" t="str">
        <f t="shared" si="176"/>
        <v>Ok</v>
      </c>
      <c r="L62" s="184" t="str">
        <f t="shared" si="176"/>
        <v>Ok</v>
      </c>
      <c r="M62" s="184" t="str">
        <f t="shared" si="176"/>
        <v>Ok</v>
      </c>
      <c r="N62" s="184" t="str">
        <f t="shared" si="176"/>
        <v>Ok</v>
      </c>
      <c r="O62" s="184">
        <f t="shared" si="176"/>
        <v>0.48637634515762329</v>
      </c>
      <c r="P62" s="184" t="str">
        <f t="shared" si="176"/>
        <v>Ok</v>
      </c>
      <c r="Q62" s="187" t="str">
        <f t="shared" si="176"/>
        <v>Ok</v>
      </c>
      <c r="R62" s="187">
        <f>IF(ROUND(R60,0.05)=ROUND(R31,0.05),"Ok",R60-R31)</f>
        <v>-0.46848110854625702</v>
      </c>
      <c r="S62" s="187" t="str">
        <f t="shared" si="176"/>
        <v>Ok</v>
      </c>
      <c r="T62" s="607" t="str">
        <f t="shared" si="176"/>
        <v>Ok</v>
      </c>
      <c r="U62" s="186" t="str">
        <f t="shared" ca="1" si="176"/>
        <v>Ok</v>
      </c>
      <c r="V62" s="186" t="str">
        <f t="shared" ca="1" si="176"/>
        <v>Ok</v>
      </c>
      <c r="W62" s="186" t="str">
        <f t="shared" ca="1" si="176"/>
        <v>Ok</v>
      </c>
      <c r="X62" s="186" t="str">
        <f t="shared" ca="1" si="176"/>
        <v>Ok</v>
      </c>
      <c r="Y62" s="186" t="str">
        <f t="shared" ref="Y62:Z62" ca="1" si="177">IF(ROUND(Y60,0.05)=ROUND(Y31,0.05),"Ok",Y60-Y31)</f>
        <v>Ok</v>
      </c>
      <c r="Z62" s="186" t="str">
        <f t="shared" ca="1" si="177"/>
        <v>Ok</v>
      </c>
      <c r="AA62" s="33"/>
      <c r="AB62" s="185" t="str">
        <f>A62</f>
        <v>Check</v>
      </c>
      <c r="AC62" s="184" t="str">
        <f t="shared" ref="AC62" si="178">IF(ROUND(AC60,0.05)=ROUND(AC31,0.05),"Ok",AC60-AC31)</f>
        <v>Ok</v>
      </c>
      <c r="AD62" s="184" t="str">
        <f t="shared" ref="AD62:BX62" si="179">IF(ROUND(AD60,0.05)=ROUND(AD31,0.05),"Ok",AD60-AD31)</f>
        <v>Ok</v>
      </c>
      <c r="AE62" s="184" t="str">
        <f t="shared" si="179"/>
        <v>Ok</v>
      </c>
      <c r="AF62" s="184" t="str">
        <f t="shared" si="179"/>
        <v>Ok</v>
      </c>
      <c r="AG62" s="184" t="str">
        <f t="shared" si="179"/>
        <v>Ok</v>
      </c>
      <c r="AH62" s="184" t="str">
        <f t="shared" si="179"/>
        <v>Ok</v>
      </c>
      <c r="AI62" s="184" t="str">
        <f t="shared" si="179"/>
        <v>Ok</v>
      </c>
      <c r="AJ62" s="184" t="str">
        <f t="shared" si="179"/>
        <v>Ok</v>
      </c>
      <c r="AK62" s="184" t="str">
        <f t="shared" si="179"/>
        <v>Ok</v>
      </c>
      <c r="AL62" s="184" t="str">
        <f t="shared" si="179"/>
        <v>Ok</v>
      </c>
      <c r="AM62" s="184" t="str">
        <f t="shared" si="179"/>
        <v>Ok</v>
      </c>
      <c r="AN62" s="184" t="str">
        <f t="shared" si="179"/>
        <v>Ok</v>
      </c>
      <c r="AO62" s="184" t="str">
        <f t="shared" si="179"/>
        <v>Ok</v>
      </c>
      <c r="AP62" s="184" t="str">
        <f t="shared" si="179"/>
        <v>Ok</v>
      </c>
      <c r="AQ62" s="184" t="str">
        <f t="shared" si="179"/>
        <v>Ok</v>
      </c>
      <c r="AR62" s="184" t="str">
        <f t="shared" si="179"/>
        <v>Ok</v>
      </c>
      <c r="AS62" s="184" t="str">
        <f t="shared" si="179"/>
        <v>Ok</v>
      </c>
      <c r="AT62" s="184" t="str">
        <f t="shared" si="179"/>
        <v>Ok</v>
      </c>
      <c r="AU62" s="184" t="str">
        <f t="shared" si="179"/>
        <v>Ok</v>
      </c>
      <c r="AV62" s="184" t="str">
        <f t="shared" si="179"/>
        <v>Ok</v>
      </c>
      <c r="AW62" s="184" t="str">
        <f t="shared" si="179"/>
        <v>Ok</v>
      </c>
      <c r="AX62" s="184" t="str">
        <f t="shared" si="179"/>
        <v>Ok</v>
      </c>
      <c r="AY62" s="184" t="str">
        <f t="shared" si="179"/>
        <v>Ok</v>
      </c>
      <c r="AZ62" s="184" t="str">
        <f t="shared" si="179"/>
        <v>Ok</v>
      </c>
      <c r="BA62" s="184" t="str">
        <f t="shared" si="179"/>
        <v>Ok</v>
      </c>
      <c r="BB62" s="184" t="str">
        <f t="shared" si="179"/>
        <v>Ok</v>
      </c>
      <c r="BC62" s="184" t="str">
        <f t="shared" si="179"/>
        <v>Ok</v>
      </c>
      <c r="BD62" s="184" t="str">
        <f t="shared" si="179"/>
        <v>Ok</v>
      </c>
      <c r="BE62" s="184" t="str">
        <f t="shared" si="179"/>
        <v>Ok</v>
      </c>
      <c r="BF62" s="184" t="str">
        <f t="shared" si="179"/>
        <v>Ok</v>
      </c>
      <c r="BG62" s="184" t="str">
        <f t="shared" si="179"/>
        <v>Ok</v>
      </c>
      <c r="BH62" s="184" t="str">
        <f t="shared" si="179"/>
        <v>Ok</v>
      </c>
      <c r="BI62" s="184" t="str">
        <f t="shared" si="179"/>
        <v>Ok</v>
      </c>
      <c r="BJ62" s="184" t="str">
        <f t="shared" si="179"/>
        <v>Ok</v>
      </c>
      <c r="BK62" s="184" t="str">
        <f t="shared" si="179"/>
        <v>Ok</v>
      </c>
      <c r="BL62" s="184" t="str">
        <f t="shared" si="179"/>
        <v>Ok</v>
      </c>
      <c r="BM62" s="184" t="str">
        <f t="shared" si="179"/>
        <v>Ok</v>
      </c>
      <c r="BN62" s="184" t="str">
        <f t="shared" si="179"/>
        <v>Ok</v>
      </c>
      <c r="BO62" s="184" t="str">
        <f t="shared" si="179"/>
        <v>Ok</v>
      </c>
      <c r="BP62" s="184" t="str">
        <f t="shared" si="179"/>
        <v>Ok</v>
      </c>
      <c r="BQ62" s="184" t="str">
        <f t="shared" si="179"/>
        <v>Ok</v>
      </c>
      <c r="BR62" s="184" t="str">
        <f t="shared" si="179"/>
        <v>Ok</v>
      </c>
      <c r="BS62" s="184" t="str">
        <f t="shared" si="179"/>
        <v>Ok</v>
      </c>
      <c r="BT62" s="184" t="str">
        <f t="shared" si="179"/>
        <v>Ok</v>
      </c>
      <c r="BU62" s="184" t="str">
        <f t="shared" si="179"/>
        <v>Ok</v>
      </c>
      <c r="BV62" s="184" t="str">
        <f t="shared" si="179"/>
        <v>Ok</v>
      </c>
      <c r="BW62" s="184" t="str">
        <f t="shared" si="179"/>
        <v>Ok</v>
      </c>
      <c r="BX62" s="184" t="str">
        <f t="shared" si="179"/>
        <v>Ok</v>
      </c>
      <c r="BY62" s="184" t="str">
        <f t="shared" ref="BY62:CN62" si="180">IF(ROUND(BY60,0.05)=ROUND(BY31,0.05),"Ok",BY60-BY31)</f>
        <v>Ok</v>
      </c>
      <c r="BZ62" s="184" t="str">
        <f t="shared" si="180"/>
        <v>Ok</v>
      </c>
      <c r="CA62" s="184" t="str">
        <f t="shared" si="180"/>
        <v>Ok</v>
      </c>
      <c r="CB62" s="184" t="str">
        <f t="shared" si="180"/>
        <v>Ok</v>
      </c>
      <c r="CC62" s="184" t="str">
        <f t="shared" si="180"/>
        <v>Ok</v>
      </c>
      <c r="CD62" s="184" t="str">
        <f t="shared" si="180"/>
        <v>Ok</v>
      </c>
      <c r="CE62" s="184" t="str">
        <f t="shared" si="180"/>
        <v>Ok</v>
      </c>
      <c r="CF62" s="184">
        <f t="shared" si="180"/>
        <v>0.48637634515762329</v>
      </c>
      <c r="CG62" s="184">
        <f t="shared" si="180"/>
        <v>-0.23661062121391296</v>
      </c>
      <c r="CH62" s="184" t="str">
        <f t="shared" si="180"/>
        <v>Ok</v>
      </c>
      <c r="CI62" s="184" t="str">
        <f t="shared" si="180"/>
        <v>Ok</v>
      </c>
      <c r="CJ62" s="184" t="str">
        <f t="shared" si="180"/>
        <v>Ok</v>
      </c>
      <c r="CK62" s="184" t="str">
        <f t="shared" si="180"/>
        <v>Ok</v>
      </c>
      <c r="CL62" s="184">
        <f t="shared" si="180"/>
        <v>-0.13348796963691711</v>
      </c>
      <c r="CM62" s="184" t="str">
        <f t="shared" si="180"/>
        <v>Ok</v>
      </c>
      <c r="CN62" s="184" t="str">
        <f t="shared" si="180"/>
        <v>Ok</v>
      </c>
      <c r="CO62" s="184" t="str">
        <f t="shared" ref="CO62:CS62" si="181">IF(ROUND(CO60,0.05)=ROUND(CO31,0.05),"Ok",CO60-CO31)</f>
        <v>Ok</v>
      </c>
      <c r="CP62" s="184">
        <f t="shared" ref="CP62:CQ62" si="182">IF(ROUND(CP60,0.05)=ROUND(CP31,0.05),"Ok",CP60-CP31)</f>
        <v>-0.21743315458297729</v>
      </c>
      <c r="CQ62" s="184" t="str">
        <f t="shared" si="182"/>
        <v>Ok</v>
      </c>
      <c r="CR62" s="184">
        <f t="shared" si="181"/>
        <v>-0.46848110854625702</v>
      </c>
      <c r="CS62" s="184" t="str">
        <f t="shared" si="181"/>
        <v>Ok</v>
      </c>
      <c r="CT62" s="184" t="str">
        <f t="shared" ref="CT62" si="183">IF(ROUND(CT60,0.05)=ROUND(CT31,0.05),"Ok",CT60-CT31)</f>
        <v>Ok</v>
      </c>
      <c r="CU62" s="184" t="str">
        <f>IF(ROUND(CU60,0.05)=ROUND(CU31,0.05),"Ok",CU60-CU31)</f>
        <v>Ok</v>
      </c>
      <c r="CV62" s="184" t="str">
        <f t="shared" ref="CV62:DP62" si="184">IF(ROUND(CV60,0.05)=ROUND(CV31,0.05),"Ok",CV60-CV31)</f>
        <v>Ok</v>
      </c>
      <c r="CW62" s="184" t="str">
        <f t="shared" si="184"/>
        <v>Ok</v>
      </c>
      <c r="CX62" s="184" t="str">
        <f t="shared" si="184"/>
        <v>Ok</v>
      </c>
      <c r="CY62" s="184" t="str">
        <f t="shared" si="184"/>
        <v>Ok</v>
      </c>
      <c r="CZ62" s="184" t="str">
        <f t="shared" si="184"/>
        <v>Ok</v>
      </c>
      <c r="DA62" s="184" t="str">
        <f t="shared" ca="1" si="184"/>
        <v>Ok</v>
      </c>
      <c r="DB62" s="184" t="str">
        <f t="shared" ca="1" si="184"/>
        <v>Ok</v>
      </c>
      <c r="DC62" s="184" t="str">
        <f t="shared" ca="1" si="184"/>
        <v>Ok</v>
      </c>
      <c r="DD62" s="184" t="str">
        <f t="shared" ca="1" si="184"/>
        <v>Ok</v>
      </c>
      <c r="DE62" s="184" t="str">
        <f t="shared" ca="1" si="184"/>
        <v>Ok</v>
      </c>
      <c r="DF62" s="184" t="str">
        <f t="shared" ca="1" si="184"/>
        <v>Ok</v>
      </c>
      <c r="DG62" s="184" t="str">
        <f t="shared" ca="1" si="184"/>
        <v>Ok</v>
      </c>
      <c r="DH62" s="184" t="str">
        <f t="shared" ca="1" si="184"/>
        <v>Ok</v>
      </c>
      <c r="DI62" s="184" t="str">
        <f t="shared" ca="1" si="184"/>
        <v>Ok</v>
      </c>
      <c r="DJ62" s="184" t="str">
        <f t="shared" ca="1" si="184"/>
        <v>Ok</v>
      </c>
      <c r="DK62" s="184" t="str">
        <f t="shared" ca="1" si="184"/>
        <v>Ok</v>
      </c>
      <c r="DL62" s="184" t="str">
        <f t="shared" ca="1" si="184"/>
        <v>Ok</v>
      </c>
      <c r="DM62" s="184" t="str">
        <f t="shared" ca="1" si="184"/>
        <v>Ok</v>
      </c>
      <c r="DN62" s="184" t="str">
        <f t="shared" ca="1" si="184"/>
        <v>Ok</v>
      </c>
      <c r="DO62" s="184" t="str">
        <f t="shared" ca="1" si="184"/>
        <v>Ok</v>
      </c>
      <c r="DP62" s="184" t="str">
        <f t="shared" ca="1" si="184"/>
        <v>Ok</v>
      </c>
      <c r="DQ62" s="184" t="str">
        <f t="shared" ref="DQ62:DT62" ca="1" si="185">IF(ROUND(DQ60,0.05)=ROUND(DQ31,0.05),"Ok",DQ60-DQ31)</f>
        <v>Ok</v>
      </c>
      <c r="DR62" s="184" t="str">
        <f t="shared" ca="1" si="185"/>
        <v>Ok</v>
      </c>
      <c r="DS62" s="184" t="str">
        <f t="shared" ca="1" si="185"/>
        <v>Ok</v>
      </c>
      <c r="DT62" s="184" t="str">
        <f t="shared" ca="1" si="185"/>
        <v>Ok</v>
      </c>
      <c r="DU62" s="184" t="str">
        <f t="shared" ref="DU62:DX62" ca="1" si="186">IF(ROUND(DU60,0.05)=ROUND(DU31,0.05),"Ok",DU60-DU31)</f>
        <v>Ok</v>
      </c>
      <c r="DV62" s="184" t="str">
        <f t="shared" ca="1" si="186"/>
        <v>Ok</v>
      </c>
      <c r="DW62" s="184" t="str">
        <f t="shared" ca="1" si="186"/>
        <v>Ok</v>
      </c>
      <c r="DX62" s="184" t="str">
        <f t="shared" ca="1" si="186"/>
        <v>Ok</v>
      </c>
    </row>
    <row r="63" spans="1:129" ht="10.199999999999999">
      <c r="A63" s="107"/>
      <c r="B63" s="107"/>
      <c r="C63" s="107"/>
      <c r="D63" s="107"/>
      <c r="E63" s="107"/>
      <c r="F63" s="107"/>
      <c r="G63" s="107"/>
      <c r="H63" s="183"/>
      <c r="I63" s="107"/>
      <c r="J63" s="107"/>
      <c r="K63" s="107"/>
      <c r="L63" s="107"/>
      <c r="M63" s="107"/>
      <c r="N63" s="107"/>
      <c r="O63" s="107"/>
      <c r="P63" s="107"/>
      <c r="Q63" s="120"/>
      <c r="R63" s="120"/>
      <c r="S63" s="120"/>
      <c r="T63" s="602"/>
      <c r="U63" s="119"/>
      <c r="V63" s="119"/>
      <c r="W63" s="119"/>
      <c r="X63" s="119"/>
      <c r="Y63" s="119"/>
      <c r="Z63" s="119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</row>
    <row r="64" spans="1:129" s="31" customFormat="1">
      <c r="A64" s="182" t="s">
        <v>180</v>
      </c>
      <c r="B64" s="81">
        <f t="shared" ref="B64:Y64" si="187">B7</f>
        <v>1997</v>
      </c>
      <c r="C64" s="81">
        <f t="shared" si="187"/>
        <v>1998</v>
      </c>
      <c r="D64" s="81">
        <f t="shared" si="187"/>
        <v>1999</v>
      </c>
      <c r="E64" s="81">
        <f t="shared" si="187"/>
        <v>2000</v>
      </c>
      <c r="F64" s="81">
        <f t="shared" si="187"/>
        <v>2001</v>
      </c>
      <c r="G64" s="81">
        <f t="shared" si="187"/>
        <v>2002</v>
      </c>
      <c r="H64" s="81">
        <f t="shared" si="187"/>
        <v>2003</v>
      </c>
      <c r="I64" s="81">
        <f t="shared" si="187"/>
        <v>2004</v>
      </c>
      <c r="J64" s="81">
        <f t="shared" si="187"/>
        <v>2005</v>
      </c>
      <c r="K64" s="81">
        <f t="shared" si="187"/>
        <v>2006</v>
      </c>
      <c r="L64" s="81">
        <f t="shared" si="187"/>
        <v>2007</v>
      </c>
      <c r="M64" s="81">
        <f t="shared" si="187"/>
        <v>2008</v>
      </c>
      <c r="N64" s="81">
        <f t="shared" si="187"/>
        <v>2009</v>
      </c>
      <c r="O64" s="81">
        <f t="shared" si="187"/>
        <v>2010</v>
      </c>
      <c r="P64" s="81">
        <f t="shared" si="187"/>
        <v>2011</v>
      </c>
      <c r="Q64" s="80">
        <f t="shared" si="187"/>
        <v>2012</v>
      </c>
      <c r="R64" s="80">
        <f t="shared" si="187"/>
        <v>2013</v>
      </c>
      <c r="S64" s="80">
        <f t="shared" si="187"/>
        <v>2014</v>
      </c>
      <c r="T64" s="81">
        <f t="shared" si="187"/>
        <v>2015</v>
      </c>
      <c r="U64" s="79" t="str">
        <f t="shared" si="187"/>
        <v>2016E</v>
      </c>
      <c r="V64" s="79" t="str">
        <f t="shared" si="187"/>
        <v>2017E</v>
      </c>
      <c r="W64" s="79" t="str">
        <f t="shared" si="187"/>
        <v>2018E</v>
      </c>
      <c r="X64" s="79" t="str">
        <f t="shared" si="187"/>
        <v>2019E</v>
      </c>
      <c r="Y64" s="79" t="str">
        <f t="shared" si="187"/>
        <v>2020E</v>
      </c>
      <c r="Z64" s="79" t="str">
        <f t="shared" ref="Z64" si="188">Z7</f>
        <v>2021E</v>
      </c>
      <c r="AB64" s="182" t="s">
        <v>180</v>
      </c>
      <c r="AC64" s="77" t="str">
        <f t="shared" ref="AC64:BH64" si="189">AC7</f>
        <v>1Q97</v>
      </c>
      <c r="AD64" s="77" t="str">
        <f t="shared" si="189"/>
        <v>2Q97</v>
      </c>
      <c r="AE64" s="77" t="str">
        <f t="shared" si="189"/>
        <v>3Q97</v>
      </c>
      <c r="AF64" s="77" t="str">
        <f t="shared" si="189"/>
        <v>4Q97</v>
      </c>
      <c r="AG64" s="77" t="str">
        <f t="shared" si="189"/>
        <v>1Q98</v>
      </c>
      <c r="AH64" s="77" t="str">
        <f t="shared" si="189"/>
        <v>2Q98</v>
      </c>
      <c r="AI64" s="77" t="str">
        <f t="shared" si="189"/>
        <v>3Q98</v>
      </c>
      <c r="AJ64" s="77" t="str">
        <f t="shared" si="189"/>
        <v>4Q98</v>
      </c>
      <c r="AK64" s="77" t="str">
        <f t="shared" si="189"/>
        <v>1Q99</v>
      </c>
      <c r="AL64" s="77" t="str">
        <f t="shared" si="189"/>
        <v>2Q99</v>
      </c>
      <c r="AM64" s="77" t="str">
        <f t="shared" si="189"/>
        <v>3Q99</v>
      </c>
      <c r="AN64" s="77" t="str">
        <f t="shared" si="189"/>
        <v>4Q99</v>
      </c>
      <c r="AO64" s="77" t="str">
        <f t="shared" si="189"/>
        <v>1Q00</v>
      </c>
      <c r="AP64" s="77" t="str">
        <f t="shared" si="189"/>
        <v>2Q00</v>
      </c>
      <c r="AQ64" s="77" t="str">
        <f t="shared" si="189"/>
        <v>3Q00</v>
      </c>
      <c r="AR64" s="77" t="str">
        <f t="shared" si="189"/>
        <v>4Q00</v>
      </c>
      <c r="AS64" s="77" t="str">
        <f t="shared" si="189"/>
        <v>1Q01</v>
      </c>
      <c r="AT64" s="77" t="str">
        <f t="shared" si="189"/>
        <v>2Q01</v>
      </c>
      <c r="AU64" s="77" t="str">
        <f t="shared" si="189"/>
        <v>3Q01</v>
      </c>
      <c r="AV64" s="77" t="str">
        <f t="shared" si="189"/>
        <v>4Q01</v>
      </c>
      <c r="AW64" s="77" t="str">
        <f t="shared" si="189"/>
        <v>1Q02</v>
      </c>
      <c r="AX64" s="77" t="str">
        <f t="shared" si="189"/>
        <v>2Q02</v>
      </c>
      <c r="AY64" s="77" t="str">
        <f t="shared" si="189"/>
        <v>3Q02</v>
      </c>
      <c r="AZ64" s="77" t="str">
        <f t="shared" si="189"/>
        <v>4Q02</v>
      </c>
      <c r="BA64" s="77" t="str">
        <f t="shared" si="189"/>
        <v>1Q03</v>
      </c>
      <c r="BB64" s="77" t="str">
        <f t="shared" si="189"/>
        <v>2Q03</v>
      </c>
      <c r="BC64" s="77" t="str">
        <f t="shared" si="189"/>
        <v>3Q03</v>
      </c>
      <c r="BD64" s="77" t="str">
        <f t="shared" si="189"/>
        <v>4Q03</v>
      </c>
      <c r="BE64" s="77" t="str">
        <f t="shared" si="189"/>
        <v>1Q04</v>
      </c>
      <c r="BF64" s="77" t="str">
        <f t="shared" si="189"/>
        <v>2Q04</v>
      </c>
      <c r="BG64" s="77" t="str">
        <f t="shared" si="189"/>
        <v>3Q04</v>
      </c>
      <c r="BH64" s="77" t="str">
        <f t="shared" si="189"/>
        <v>4Q04</v>
      </c>
      <c r="BI64" s="77" t="str">
        <f t="shared" ref="BI64:CN64" si="190">BI7</f>
        <v>1Q05</v>
      </c>
      <c r="BJ64" s="77" t="str">
        <f t="shared" si="190"/>
        <v>2Q05</v>
      </c>
      <c r="BK64" s="77" t="str">
        <f t="shared" si="190"/>
        <v>3Q05</v>
      </c>
      <c r="BL64" s="77" t="str">
        <f t="shared" si="190"/>
        <v>4Q05</v>
      </c>
      <c r="BM64" s="77" t="str">
        <f t="shared" si="190"/>
        <v>1Q06</v>
      </c>
      <c r="BN64" s="77" t="str">
        <f t="shared" si="190"/>
        <v>2Q06</v>
      </c>
      <c r="BO64" s="77" t="str">
        <f t="shared" si="190"/>
        <v>3Q06</v>
      </c>
      <c r="BP64" s="77" t="str">
        <f t="shared" si="190"/>
        <v>4Q06</v>
      </c>
      <c r="BQ64" s="77" t="str">
        <f t="shared" si="190"/>
        <v>1Q07</v>
      </c>
      <c r="BR64" s="77" t="str">
        <f t="shared" si="190"/>
        <v>2Q07</v>
      </c>
      <c r="BS64" s="77" t="str">
        <f t="shared" si="190"/>
        <v>3Q07</v>
      </c>
      <c r="BT64" s="77" t="str">
        <f t="shared" si="190"/>
        <v>4Q07</v>
      </c>
      <c r="BU64" s="77" t="str">
        <f t="shared" si="190"/>
        <v>1Q08</v>
      </c>
      <c r="BV64" s="77" t="str">
        <f t="shared" si="190"/>
        <v>2Q08</v>
      </c>
      <c r="BW64" s="77" t="str">
        <f t="shared" si="190"/>
        <v>3Q08</v>
      </c>
      <c r="BX64" s="77" t="str">
        <f t="shared" si="190"/>
        <v>4Q08</v>
      </c>
      <c r="BY64" s="77" t="str">
        <f t="shared" si="190"/>
        <v>1Q09</v>
      </c>
      <c r="BZ64" s="77" t="str">
        <f t="shared" si="190"/>
        <v>2Q09</v>
      </c>
      <c r="CA64" s="77" t="str">
        <f t="shared" si="190"/>
        <v>3Q09</v>
      </c>
      <c r="CB64" s="77" t="str">
        <f t="shared" si="190"/>
        <v>4Q09</v>
      </c>
      <c r="CC64" s="77" t="str">
        <f t="shared" si="190"/>
        <v>1Q10</v>
      </c>
      <c r="CD64" s="77" t="str">
        <f t="shared" si="190"/>
        <v>2Q10</v>
      </c>
      <c r="CE64" s="77" t="str">
        <f t="shared" si="190"/>
        <v>3Q10</v>
      </c>
      <c r="CF64" s="77" t="str">
        <f t="shared" si="190"/>
        <v>4Q10</v>
      </c>
      <c r="CG64" s="77" t="str">
        <f t="shared" si="190"/>
        <v>1Q11</v>
      </c>
      <c r="CH64" s="77" t="str">
        <f t="shared" si="190"/>
        <v>2Q11</v>
      </c>
      <c r="CI64" s="77" t="str">
        <f t="shared" si="190"/>
        <v>3Q11</v>
      </c>
      <c r="CJ64" s="77" t="str">
        <f t="shared" si="190"/>
        <v>4Q11</v>
      </c>
      <c r="CK64" s="77" t="str">
        <f t="shared" si="190"/>
        <v>1Q12</v>
      </c>
      <c r="CL64" s="77" t="str">
        <f t="shared" si="190"/>
        <v>2Q12</v>
      </c>
      <c r="CM64" s="77" t="str">
        <f t="shared" si="190"/>
        <v>3Q12</v>
      </c>
      <c r="CN64" s="77" t="str">
        <f t="shared" si="190"/>
        <v>4Q12</v>
      </c>
      <c r="CO64" s="77" t="str">
        <f t="shared" ref="CO64:DT64" si="191">CO7</f>
        <v>1Q13</v>
      </c>
      <c r="CP64" s="77" t="str">
        <f t="shared" si="191"/>
        <v>2Q13</v>
      </c>
      <c r="CQ64" s="77" t="str">
        <f t="shared" si="191"/>
        <v>3Q13</v>
      </c>
      <c r="CR64" s="77" t="str">
        <f t="shared" si="191"/>
        <v>4Q13</v>
      </c>
      <c r="CS64" s="77" t="str">
        <f t="shared" si="191"/>
        <v>1Q14</v>
      </c>
      <c r="CT64" s="77" t="str">
        <f t="shared" si="191"/>
        <v>2Q14</v>
      </c>
      <c r="CU64" s="77" t="str">
        <f t="shared" si="191"/>
        <v>3Q14</v>
      </c>
      <c r="CV64" s="77" t="str">
        <f t="shared" si="191"/>
        <v>4Q14</v>
      </c>
      <c r="CW64" s="77" t="str">
        <f t="shared" ref="CW64" si="192">CW7</f>
        <v>1Q15</v>
      </c>
      <c r="CX64" s="352" t="str">
        <f t="shared" si="191"/>
        <v>2Q15</v>
      </c>
      <c r="CY64" s="352" t="str">
        <f t="shared" ref="CY64:CZ64" si="193">CY7</f>
        <v>3Q15</v>
      </c>
      <c r="CZ64" s="352" t="str">
        <f t="shared" si="193"/>
        <v>4Q15</v>
      </c>
      <c r="DA64" s="181" t="str">
        <f t="shared" si="191"/>
        <v>1Q16E</v>
      </c>
      <c r="DB64" s="181" t="str">
        <f t="shared" si="191"/>
        <v>2Q16E</v>
      </c>
      <c r="DC64" s="181" t="str">
        <f t="shared" si="191"/>
        <v>3Q16E</v>
      </c>
      <c r="DD64" s="181" t="str">
        <f t="shared" si="191"/>
        <v>4Q16E</v>
      </c>
      <c r="DE64" s="181" t="str">
        <f t="shared" si="191"/>
        <v>1Q17E</v>
      </c>
      <c r="DF64" s="181" t="str">
        <f t="shared" si="191"/>
        <v>2Q17E</v>
      </c>
      <c r="DG64" s="181" t="str">
        <f t="shared" si="191"/>
        <v>3Q17E</v>
      </c>
      <c r="DH64" s="181" t="str">
        <f t="shared" si="191"/>
        <v>4Q17E</v>
      </c>
      <c r="DI64" s="181" t="str">
        <f t="shared" si="191"/>
        <v>1Q18E</v>
      </c>
      <c r="DJ64" s="181" t="str">
        <f t="shared" si="191"/>
        <v>2Q18E</v>
      </c>
      <c r="DK64" s="181" t="str">
        <f t="shared" si="191"/>
        <v>3Q18E</v>
      </c>
      <c r="DL64" s="181" t="str">
        <f t="shared" si="191"/>
        <v>4Q18E</v>
      </c>
      <c r="DM64" s="181" t="str">
        <f t="shared" si="191"/>
        <v>1Q19E</v>
      </c>
      <c r="DN64" s="181" t="str">
        <f t="shared" si="191"/>
        <v>2Q19E</v>
      </c>
      <c r="DO64" s="181" t="str">
        <f t="shared" si="191"/>
        <v>3Q19E</v>
      </c>
      <c r="DP64" s="181" t="str">
        <f t="shared" si="191"/>
        <v>4Q19E</v>
      </c>
      <c r="DQ64" s="181" t="str">
        <f t="shared" si="191"/>
        <v>1Q20E</v>
      </c>
      <c r="DR64" s="181" t="str">
        <f t="shared" si="191"/>
        <v>2Q20E</v>
      </c>
      <c r="DS64" s="181" t="str">
        <f t="shared" si="191"/>
        <v>3Q20E</v>
      </c>
      <c r="DT64" s="181" t="str">
        <f t="shared" si="191"/>
        <v>4Q20E</v>
      </c>
      <c r="DU64" s="181" t="str">
        <f t="shared" ref="DU64:DX64" si="194">DU7</f>
        <v>1Q21E</v>
      </c>
      <c r="DV64" s="181" t="str">
        <f t="shared" si="194"/>
        <v>2Q21E</v>
      </c>
      <c r="DW64" s="181" t="str">
        <f t="shared" si="194"/>
        <v>3Q21E</v>
      </c>
      <c r="DX64" s="181" t="str">
        <f t="shared" si="194"/>
        <v>4Q21E</v>
      </c>
    </row>
    <row r="65" spans="1:128" s="31" customFormat="1">
      <c r="A65" s="15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43"/>
      <c r="R65" s="43"/>
      <c r="S65" s="43"/>
      <c r="T65" s="37"/>
      <c r="U65" s="42"/>
      <c r="V65" s="42"/>
      <c r="W65" s="42"/>
      <c r="X65" s="42"/>
      <c r="Y65" s="42"/>
      <c r="Z65" s="42"/>
      <c r="AB65" s="150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176"/>
      <c r="BZ65" s="176"/>
      <c r="CA65" s="176"/>
      <c r="CB65" s="176"/>
      <c r="CC65" s="176"/>
      <c r="CD65" s="176"/>
      <c r="CE65" s="176"/>
      <c r="CF65" s="176"/>
      <c r="CG65" s="176"/>
      <c r="CH65" s="176"/>
      <c r="CI65" s="176"/>
      <c r="CJ65" s="176"/>
      <c r="CK65" s="176"/>
      <c r="CL65" s="176"/>
      <c r="CM65" s="180"/>
      <c r="CN65" s="175"/>
      <c r="CO65" s="175"/>
      <c r="CP65" s="175"/>
      <c r="CQ65" s="175"/>
      <c r="CR65" s="175"/>
      <c r="CS65" s="175"/>
      <c r="CT65" s="175"/>
      <c r="CU65" s="175"/>
      <c r="CV65" s="175"/>
      <c r="CW65" s="175"/>
      <c r="CX65" s="175"/>
      <c r="CY65" s="175"/>
      <c r="CZ65" s="175"/>
      <c r="DA65" s="175"/>
      <c r="DB65" s="175"/>
      <c r="DC65" s="175"/>
      <c r="DD65" s="175"/>
      <c r="DE65" s="175"/>
      <c r="DF65" s="175"/>
      <c r="DG65" s="175"/>
      <c r="DH65" s="175"/>
      <c r="DI65" s="175"/>
      <c r="DJ65" s="175"/>
      <c r="DK65" s="175"/>
      <c r="DL65" s="175"/>
      <c r="DM65" s="175"/>
      <c r="DN65" s="175"/>
      <c r="DO65" s="175"/>
      <c r="DP65" s="175"/>
      <c r="DQ65" s="175"/>
      <c r="DR65" s="175"/>
      <c r="DS65" s="175"/>
      <c r="DT65" s="175"/>
      <c r="DU65" s="175"/>
      <c r="DV65" s="175"/>
      <c r="DW65" s="175"/>
      <c r="DX65" s="175"/>
    </row>
    <row r="66" spans="1:128" s="31" customFormat="1">
      <c r="A66" s="171" t="s">
        <v>179</v>
      </c>
      <c r="B66" s="179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178"/>
      <c r="R66" s="178"/>
      <c r="S66" s="178"/>
      <c r="T66" s="38"/>
      <c r="U66" s="177"/>
      <c r="V66" s="177"/>
      <c r="W66" s="177"/>
      <c r="X66" s="177"/>
      <c r="Y66" s="177"/>
      <c r="Z66" s="177"/>
      <c r="AB66" s="171" t="s">
        <v>179</v>
      </c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176"/>
      <c r="BZ66" s="176"/>
      <c r="CA66" s="176"/>
      <c r="CB66" s="176"/>
      <c r="CC66" s="151">
        <f>+CC67/CB67-1</f>
        <v>8.607809793160337E-3</v>
      </c>
      <c r="CD66" s="151"/>
      <c r="CE66" s="151"/>
      <c r="CF66" s="151"/>
      <c r="CG66" s="151"/>
      <c r="CH66" s="151"/>
      <c r="CI66" s="151"/>
      <c r="CJ66" s="151"/>
      <c r="CK66" s="151"/>
      <c r="CL66" s="151"/>
      <c r="CM66" s="151"/>
      <c r="CN66" s="151"/>
      <c r="CO66" s="175"/>
      <c r="CP66" s="175"/>
      <c r="CQ66" s="175"/>
      <c r="CR66" s="175"/>
      <c r="CS66" s="175"/>
      <c r="CT66" s="175"/>
      <c r="CU66" s="175"/>
      <c r="CV66" s="175"/>
      <c r="CW66" s="175"/>
      <c r="CX66" s="175"/>
      <c r="CY66" s="175"/>
      <c r="CZ66" s="175"/>
      <c r="DA66" s="175"/>
      <c r="DB66" s="175"/>
      <c r="DC66" s="175"/>
      <c r="DD66" s="175"/>
      <c r="DE66" s="175"/>
      <c r="DF66" s="175"/>
      <c r="DG66" s="175"/>
      <c r="DH66" s="175"/>
      <c r="DI66" s="175"/>
      <c r="DJ66" s="175"/>
      <c r="DK66" s="175"/>
      <c r="DL66" s="175"/>
      <c r="DM66" s="175"/>
      <c r="DN66" s="175"/>
      <c r="DO66" s="175"/>
      <c r="DP66" s="175"/>
      <c r="DQ66" s="175"/>
      <c r="DR66" s="175"/>
      <c r="DS66" s="175"/>
      <c r="DT66" s="175"/>
      <c r="DU66" s="175"/>
      <c r="DV66" s="175"/>
      <c r="DW66" s="175"/>
      <c r="DX66" s="175"/>
    </row>
    <row r="67" spans="1:128" s="31" customFormat="1">
      <c r="A67" s="173" t="s">
        <v>28</v>
      </c>
      <c r="B67" s="46">
        <f t="shared" ref="B67:X67" si="195">B20</f>
        <v>0</v>
      </c>
      <c r="C67" s="46">
        <f t="shared" si="195"/>
        <v>0</v>
      </c>
      <c r="D67" s="46">
        <f t="shared" si="195"/>
        <v>0</v>
      </c>
      <c r="E67" s="46">
        <f t="shared" si="195"/>
        <v>0</v>
      </c>
      <c r="F67" s="46">
        <f t="shared" si="195"/>
        <v>0</v>
      </c>
      <c r="G67" s="46">
        <f t="shared" si="195"/>
        <v>0</v>
      </c>
      <c r="H67" s="46">
        <f t="shared" si="195"/>
        <v>0</v>
      </c>
      <c r="I67" s="46">
        <f t="shared" si="195"/>
        <v>0</v>
      </c>
      <c r="J67" s="46">
        <f t="shared" si="195"/>
        <v>0</v>
      </c>
      <c r="K67" s="46">
        <f t="shared" si="195"/>
        <v>0</v>
      </c>
      <c r="L67" s="46">
        <f t="shared" si="195"/>
        <v>0</v>
      </c>
      <c r="M67" s="46">
        <f t="shared" si="195"/>
        <v>0</v>
      </c>
      <c r="N67" s="46">
        <f t="shared" si="195"/>
        <v>32976043.290704809</v>
      </c>
      <c r="O67" s="46">
        <f t="shared" si="195"/>
        <v>39841759.578479499</v>
      </c>
      <c r="P67" s="46">
        <f t="shared" si="195"/>
        <v>46327040.078152888</v>
      </c>
      <c r="Q67" s="48">
        <f t="shared" si="195"/>
        <v>53815603.672012493</v>
      </c>
      <c r="R67" s="48">
        <f t="shared" si="195"/>
        <v>62857020.944389746</v>
      </c>
      <c r="S67" s="48">
        <f t="shared" si="195"/>
        <v>77880838</v>
      </c>
      <c r="T67" s="46">
        <f t="shared" si="195"/>
        <v>88017645</v>
      </c>
      <c r="U67" s="45">
        <f t="shared" si="195"/>
        <v>98945255.287023455</v>
      </c>
      <c r="V67" s="45">
        <f t="shared" si="195"/>
        <v>112167965.13003215</v>
      </c>
      <c r="W67" s="45">
        <f t="shared" si="195"/>
        <v>126444255.11758614</v>
      </c>
      <c r="X67" s="45">
        <f t="shared" si="195"/>
        <v>142766975.19935977</v>
      </c>
      <c r="Y67" s="45">
        <f t="shared" ref="Y67:Z67" si="196">Y20</f>
        <v>162005607.35210627</v>
      </c>
      <c r="Z67" s="45">
        <f t="shared" si="196"/>
        <v>184575859.19315279</v>
      </c>
      <c r="AB67" s="173" t="s">
        <v>28</v>
      </c>
      <c r="AC67" s="46">
        <f t="shared" ref="AC67" si="197">AC20</f>
        <v>0</v>
      </c>
      <c r="AD67" s="46">
        <f t="shared" ref="AD67:BX67" si="198">AD20</f>
        <v>0</v>
      </c>
      <c r="AE67" s="46">
        <f t="shared" si="198"/>
        <v>0</v>
      </c>
      <c r="AF67" s="46">
        <f t="shared" si="198"/>
        <v>0</v>
      </c>
      <c r="AG67" s="46">
        <f t="shared" si="198"/>
        <v>0</v>
      </c>
      <c r="AH67" s="46">
        <f t="shared" si="198"/>
        <v>0</v>
      </c>
      <c r="AI67" s="46">
        <f t="shared" si="198"/>
        <v>0</v>
      </c>
      <c r="AJ67" s="46">
        <f t="shared" si="198"/>
        <v>0</v>
      </c>
      <c r="AK67" s="46">
        <f t="shared" si="198"/>
        <v>0</v>
      </c>
      <c r="AL67" s="46">
        <f t="shared" si="198"/>
        <v>0</v>
      </c>
      <c r="AM67" s="46">
        <f t="shared" si="198"/>
        <v>0</v>
      </c>
      <c r="AN67" s="46">
        <f t="shared" si="198"/>
        <v>0</v>
      </c>
      <c r="AO67" s="46">
        <f t="shared" si="198"/>
        <v>0</v>
      </c>
      <c r="AP67" s="46">
        <f t="shared" si="198"/>
        <v>0</v>
      </c>
      <c r="AQ67" s="46">
        <f t="shared" si="198"/>
        <v>0</v>
      </c>
      <c r="AR67" s="46">
        <f t="shared" si="198"/>
        <v>0</v>
      </c>
      <c r="AS67" s="46">
        <f t="shared" si="198"/>
        <v>0</v>
      </c>
      <c r="AT67" s="46">
        <f t="shared" si="198"/>
        <v>0</v>
      </c>
      <c r="AU67" s="46">
        <f t="shared" si="198"/>
        <v>0</v>
      </c>
      <c r="AV67" s="46">
        <f t="shared" si="198"/>
        <v>0</v>
      </c>
      <c r="AW67" s="46">
        <f t="shared" si="198"/>
        <v>0</v>
      </c>
      <c r="AX67" s="46">
        <f t="shared" si="198"/>
        <v>0</v>
      </c>
      <c r="AY67" s="46">
        <f t="shared" si="198"/>
        <v>0</v>
      </c>
      <c r="AZ67" s="46">
        <f t="shared" si="198"/>
        <v>0</v>
      </c>
      <c r="BA67" s="46">
        <f t="shared" si="198"/>
        <v>0</v>
      </c>
      <c r="BB67" s="46">
        <f t="shared" si="198"/>
        <v>0</v>
      </c>
      <c r="BC67" s="46">
        <f t="shared" si="198"/>
        <v>0</v>
      </c>
      <c r="BD67" s="46">
        <f t="shared" si="198"/>
        <v>0</v>
      </c>
      <c r="BE67" s="46">
        <f t="shared" si="198"/>
        <v>0</v>
      </c>
      <c r="BF67" s="46">
        <f t="shared" si="198"/>
        <v>0</v>
      </c>
      <c r="BG67" s="46">
        <f t="shared" si="198"/>
        <v>0</v>
      </c>
      <c r="BH67" s="46">
        <f t="shared" si="198"/>
        <v>0</v>
      </c>
      <c r="BI67" s="46">
        <f t="shared" si="198"/>
        <v>0</v>
      </c>
      <c r="BJ67" s="46">
        <f t="shared" si="198"/>
        <v>0</v>
      </c>
      <c r="BK67" s="46">
        <f t="shared" si="198"/>
        <v>0</v>
      </c>
      <c r="BL67" s="46">
        <f t="shared" si="198"/>
        <v>0</v>
      </c>
      <c r="BM67" s="46">
        <f t="shared" si="198"/>
        <v>0</v>
      </c>
      <c r="BN67" s="46">
        <f t="shared" si="198"/>
        <v>0</v>
      </c>
      <c r="BO67" s="46">
        <f t="shared" si="198"/>
        <v>0</v>
      </c>
      <c r="BP67" s="46">
        <f t="shared" si="198"/>
        <v>0</v>
      </c>
      <c r="BQ67" s="46">
        <f t="shared" si="198"/>
        <v>0</v>
      </c>
      <c r="BR67" s="46">
        <f t="shared" si="198"/>
        <v>0</v>
      </c>
      <c r="BS67" s="46">
        <f t="shared" si="198"/>
        <v>0</v>
      </c>
      <c r="BT67" s="46">
        <f t="shared" si="198"/>
        <v>0</v>
      </c>
      <c r="BU67" s="46">
        <f t="shared" si="198"/>
        <v>0</v>
      </c>
      <c r="BV67" s="46">
        <f t="shared" si="198"/>
        <v>0</v>
      </c>
      <c r="BW67" s="46">
        <f t="shared" si="198"/>
        <v>0</v>
      </c>
      <c r="BX67" s="46">
        <f t="shared" si="198"/>
        <v>0</v>
      </c>
      <c r="BY67" s="46">
        <f t="shared" ref="BY67:CO67" si="199">BY20</f>
        <v>31618712.187210273</v>
      </c>
      <c r="BZ67" s="46">
        <f t="shared" si="199"/>
        <v>31475453.340346396</v>
      </c>
      <c r="CA67" s="46">
        <f t="shared" si="199"/>
        <v>30309581.648880515</v>
      </c>
      <c r="CB67" s="46">
        <f t="shared" si="199"/>
        <v>32976043.290704809</v>
      </c>
      <c r="CC67" s="46">
        <f t="shared" si="199"/>
        <v>33259894.799082216</v>
      </c>
      <c r="CD67" s="46">
        <f t="shared" si="199"/>
        <v>35273359.171519198</v>
      </c>
      <c r="CE67" s="46">
        <f t="shared" si="199"/>
        <v>36777205.07837458</v>
      </c>
      <c r="CF67" s="46">
        <f t="shared" si="199"/>
        <v>39841759.578479499</v>
      </c>
      <c r="CG67" s="46">
        <f t="shared" si="199"/>
        <v>40511949.642456837</v>
      </c>
      <c r="CH67" s="46">
        <f t="shared" si="199"/>
        <v>43863109.21474693</v>
      </c>
      <c r="CI67" s="46">
        <f t="shared" si="199"/>
        <v>44780138.806408562</v>
      </c>
      <c r="CJ67" s="46">
        <f t="shared" si="199"/>
        <v>46327040.078152888</v>
      </c>
      <c r="CK67" s="46">
        <f t="shared" si="199"/>
        <v>47457753.607872926</v>
      </c>
      <c r="CL67" s="46">
        <f t="shared" si="199"/>
        <v>50473991.774702668</v>
      </c>
      <c r="CM67" s="46">
        <f t="shared" si="199"/>
        <v>51796273.305909127</v>
      </c>
      <c r="CN67" s="46">
        <f t="shared" si="199"/>
        <v>53815603.672012493</v>
      </c>
      <c r="CO67" s="46">
        <f t="shared" si="199"/>
        <v>55007355.784946956</v>
      </c>
      <c r="CP67" s="46">
        <f t="shared" ref="CP67:CQ67" si="200">CP20</f>
        <v>58152473.513259053</v>
      </c>
      <c r="CQ67" s="46">
        <f t="shared" si="200"/>
        <v>60998683.352839962</v>
      </c>
      <c r="CR67" s="46">
        <f t="shared" ref="CR67:CS67" si="201">CR20</f>
        <v>62857020.944389746</v>
      </c>
      <c r="CS67" s="46">
        <f t="shared" si="201"/>
        <v>68623076</v>
      </c>
      <c r="CT67" s="46">
        <f t="shared" ref="CT67:CU67" si="202">CT20</f>
        <v>71524773</v>
      </c>
      <c r="CU67" s="46">
        <f t="shared" si="202"/>
        <v>73718663</v>
      </c>
      <c r="CV67" s="46">
        <f t="shared" ref="CV67:CW67" si="203">CV20</f>
        <v>77880838</v>
      </c>
      <c r="CW67" s="46">
        <f t="shared" si="203"/>
        <v>79512894</v>
      </c>
      <c r="CX67" s="46">
        <f t="shared" ref="CX67:CY67" si="204">CX20</f>
        <v>81227832</v>
      </c>
      <c r="CY67" s="46">
        <f t="shared" si="204"/>
        <v>85586035</v>
      </c>
      <c r="CZ67" s="46">
        <f t="shared" ref="CZ67" si="205">CZ20</f>
        <v>88017645</v>
      </c>
      <c r="DA67" s="45">
        <f t="shared" ref="DA67:DP67" si="206">DA69-DA68</f>
        <v>94551663.868118837</v>
      </c>
      <c r="DB67" s="45">
        <f t="shared" si="206"/>
        <v>93272099.385793686</v>
      </c>
      <c r="DC67" s="45">
        <f t="shared" si="206"/>
        <v>99606870.489927784</v>
      </c>
      <c r="DD67" s="45">
        <f t="shared" si="206"/>
        <v>98945255.287023455</v>
      </c>
      <c r="DE67" s="45">
        <f t="shared" si="206"/>
        <v>105352561.87722182</v>
      </c>
      <c r="DF67" s="45">
        <f t="shared" si="206"/>
        <v>105467111.26449479</v>
      </c>
      <c r="DG67" s="45">
        <f t="shared" si="206"/>
        <v>112017504.34426981</v>
      </c>
      <c r="DH67" s="45">
        <f t="shared" si="206"/>
        <v>112167965.13003215</v>
      </c>
      <c r="DI67" s="45">
        <f t="shared" si="206"/>
        <v>118428033.25744708</v>
      </c>
      <c r="DJ67" s="45">
        <f t="shared" si="206"/>
        <v>119190429.40046319</v>
      </c>
      <c r="DK67" s="45">
        <f t="shared" si="206"/>
        <v>125549913.53053945</v>
      </c>
      <c r="DL67" s="45">
        <f t="shared" si="206"/>
        <v>126444255.11758614</v>
      </c>
      <c r="DM67" s="45">
        <f t="shared" si="206"/>
        <v>132696266.41537049</v>
      </c>
      <c r="DN67" s="45">
        <f t="shared" si="206"/>
        <v>134449355.34100688</v>
      </c>
      <c r="DO67" s="45">
        <f t="shared" si="206"/>
        <v>140795668.94894403</v>
      </c>
      <c r="DP67" s="45">
        <f t="shared" si="206"/>
        <v>142766975.19935977</v>
      </c>
      <c r="DQ67" s="45">
        <f t="shared" ref="DQ67:DT67" si="207">DQ69-DQ68</f>
        <v>148957956.99297902</v>
      </c>
      <c r="DR67" s="45">
        <f t="shared" si="207"/>
        <v>151959851.93370417</v>
      </c>
      <c r="DS67" s="45">
        <f t="shared" si="207"/>
        <v>158085007.59634042</v>
      </c>
      <c r="DT67" s="45">
        <f t="shared" si="207"/>
        <v>162005607.35210627</v>
      </c>
      <c r="DU67" s="45">
        <f t="shared" ref="DU67:DX67" si="208">DU69-DU68</f>
        <v>167694257.22146004</v>
      </c>
      <c r="DV67" s="45">
        <f t="shared" si="208"/>
        <v>172817735.45195884</v>
      </c>
      <c r="DW67" s="45">
        <f t="shared" si="208"/>
        <v>178478626.08356178</v>
      </c>
      <c r="DX67" s="45">
        <f t="shared" si="208"/>
        <v>184575859.19315279</v>
      </c>
    </row>
    <row r="68" spans="1:128" s="31" customFormat="1">
      <c r="A68" s="64" t="s">
        <v>178</v>
      </c>
      <c r="B68" s="56">
        <f t="shared" ref="B68:X68" si="209">B21</f>
        <v>0</v>
      </c>
      <c r="C68" s="149">
        <f t="shared" si="209"/>
        <v>0</v>
      </c>
      <c r="D68" s="56">
        <f t="shared" si="209"/>
        <v>0</v>
      </c>
      <c r="E68" s="56">
        <f t="shared" si="209"/>
        <v>0</v>
      </c>
      <c r="F68" s="56">
        <f t="shared" si="209"/>
        <v>0</v>
      </c>
      <c r="G68" s="56">
        <f t="shared" si="209"/>
        <v>0</v>
      </c>
      <c r="H68" s="56">
        <f t="shared" si="209"/>
        <v>0</v>
      </c>
      <c r="I68" s="56">
        <f t="shared" si="209"/>
        <v>0</v>
      </c>
      <c r="J68" s="56">
        <f t="shared" si="209"/>
        <v>0</v>
      </c>
      <c r="K68" s="56">
        <f t="shared" si="209"/>
        <v>0</v>
      </c>
      <c r="L68" s="56">
        <f t="shared" si="209"/>
        <v>0</v>
      </c>
      <c r="M68" s="56">
        <f t="shared" si="209"/>
        <v>0</v>
      </c>
      <c r="N68" s="56">
        <f t="shared" si="209"/>
        <v>533270.37581710005</v>
      </c>
      <c r="O68" s="56">
        <f t="shared" si="209"/>
        <v>589183.15986928006</v>
      </c>
      <c r="P68" s="56">
        <f t="shared" si="209"/>
        <v>698657.44024776004</v>
      </c>
      <c r="Q68" s="58">
        <f t="shared" si="209"/>
        <v>949523.15115299996</v>
      </c>
      <c r="R68" s="58">
        <f t="shared" si="209"/>
        <v>1437219.6741746999</v>
      </c>
      <c r="S68" s="58">
        <f t="shared" si="209"/>
        <v>2009109</v>
      </c>
      <c r="T68" s="56">
        <f t="shared" si="209"/>
        <v>2310854</v>
      </c>
      <c r="U68" s="55">
        <f t="shared" si="209"/>
        <v>2398665.1488455865</v>
      </c>
      <c r="V68" s="55">
        <f t="shared" si="209"/>
        <v>2571556.880480431</v>
      </c>
      <c r="W68" s="55">
        <f t="shared" si="209"/>
        <v>2880423.8332664128</v>
      </c>
      <c r="X68" s="55">
        <f t="shared" si="209"/>
        <v>3269225.7398031731</v>
      </c>
      <c r="Y68" s="55">
        <f t="shared" ref="Y68:Z68" si="210">Y21</f>
        <v>3719504.56384185</v>
      </c>
      <c r="Z68" s="55">
        <f t="shared" si="210"/>
        <v>4234715.1391586317</v>
      </c>
      <c r="AB68" s="174" t="s">
        <v>178</v>
      </c>
      <c r="AC68" s="56">
        <f t="shared" ref="AC68" si="211">AC21</f>
        <v>0</v>
      </c>
      <c r="AD68" s="56">
        <f t="shared" ref="AD68:BX68" si="212">AD21</f>
        <v>0</v>
      </c>
      <c r="AE68" s="56">
        <f t="shared" si="212"/>
        <v>0</v>
      </c>
      <c r="AF68" s="56">
        <f t="shared" si="212"/>
        <v>0</v>
      </c>
      <c r="AG68" s="56">
        <f t="shared" si="212"/>
        <v>0</v>
      </c>
      <c r="AH68" s="56">
        <f t="shared" si="212"/>
        <v>0</v>
      </c>
      <c r="AI68" s="56">
        <f t="shared" si="212"/>
        <v>0</v>
      </c>
      <c r="AJ68" s="56">
        <f t="shared" si="212"/>
        <v>0</v>
      </c>
      <c r="AK68" s="56">
        <f t="shared" si="212"/>
        <v>0</v>
      </c>
      <c r="AL68" s="56">
        <f t="shared" si="212"/>
        <v>0</v>
      </c>
      <c r="AM68" s="56">
        <f t="shared" si="212"/>
        <v>0</v>
      </c>
      <c r="AN68" s="56">
        <f t="shared" si="212"/>
        <v>0</v>
      </c>
      <c r="AO68" s="56">
        <f t="shared" si="212"/>
        <v>0</v>
      </c>
      <c r="AP68" s="56">
        <f t="shared" si="212"/>
        <v>0</v>
      </c>
      <c r="AQ68" s="56">
        <f t="shared" si="212"/>
        <v>0</v>
      </c>
      <c r="AR68" s="56">
        <f t="shared" si="212"/>
        <v>0</v>
      </c>
      <c r="AS68" s="56">
        <f t="shared" si="212"/>
        <v>0</v>
      </c>
      <c r="AT68" s="56">
        <f t="shared" si="212"/>
        <v>0</v>
      </c>
      <c r="AU68" s="56">
        <f t="shared" si="212"/>
        <v>0</v>
      </c>
      <c r="AV68" s="56">
        <f t="shared" si="212"/>
        <v>0</v>
      </c>
      <c r="AW68" s="56">
        <f t="shared" si="212"/>
        <v>0</v>
      </c>
      <c r="AX68" s="56">
        <f t="shared" si="212"/>
        <v>0</v>
      </c>
      <c r="AY68" s="56">
        <f t="shared" si="212"/>
        <v>0</v>
      </c>
      <c r="AZ68" s="56">
        <f t="shared" si="212"/>
        <v>0</v>
      </c>
      <c r="BA68" s="56">
        <f t="shared" si="212"/>
        <v>0</v>
      </c>
      <c r="BB68" s="56">
        <f t="shared" si="212"/>
        <v>0</v>
      </c>
      <c r="BC68" s="56">
        <f t="shared" si="212"/>
        <v>0</v>
      </c>
      <c r="BD68" s="56">
        <f t="shared" si="212"/>
        <v>0</v>
      </c>
      <c r="BE68" s="56">
        <f t="shared" si="212"/>
        <v>0</v>
      </c>
      <c r="BF68" s="56">
        <f t="shared" si="212"/>
        <v>0</v>
      </c>
      <c r="BG68" s="56">
        <f t="shared" si="212"/>
        <v>0</v>
      </c>
      <c r="BH68" s="56">
        <f t="shared" si="212"/>
        <v>0</v>
      </c>
      <c r="BI68" s="56">
        <f t="shared" si="212"/>
        <v>0</v>
      </c>
      <c r="BJ68" s="56">
        <f t="shared" si="212"/>
        <v>0</v>
      </c>
      <c r="BK68" s="56">
        <f t="shared" si="212"/>
        <v>0</v>
      </c>
      <c r="BL68" s="56">
        <f t="shared" si="212"/>
        <v>0</v>
      </c>
      <c r="BM68" s="56">
        <f t="shared" si="212"/>
        <v>0</v>
      </c>
      <c r="BN68" s="56">
        <f t="shared" si="212"/>
        <v>0</v>
      </c>
      <c r="BO68" s="56">
        <f t="shared" si="212"/>
        <v>0</v>
      </c>
      <c r="BP68" s="56">
        <f t="shared" si="212"/>
        <v>0</v>
      </c>
      <c r="BQ68" s="56">
        <f t="shared" si="212"/>
        <v>0</v>
      </c>
      <c r="BR68" s="56">
        <f t="shared" si="212"/>
        <v>0</v>
      </c>
      <c r="BS68" s="56">
        <f t="shared" si="212"/>
        <v>0</v>
      </c>
      <c r="BT68" s="56">
        <f t="shared" si="212"/>
        <v>0</v>
      </c>
      <c r="BU68" s="56">
        <f t="shared" si="212"/>
        <v>0</v>
      </c>
      <c r="BV68" s="56">
        <f t="shared" si="212"/>
        <v>0</v>
      </c>
      <c r="BW68" s="56">
        <f t="shared" si="212"/>
        <v>0</v>
      </c>
      <c r="BX68" s="56">
        <f t="shared" si="212"/>
        <v>0</v>
      </c>
      <c r="BY68" s="56">
        <f t="shared" ref="BY68:CO68" si="213">BY21</f>
        <v>369846.56234110001</v>
      </c>
      <c r="BZ68" s="56">
        <f t="shared" si="213"/>
        <v>441648.79729180003</v>
      </c>
      <c r="CA68" s="56">
        <f t="shared" si="213"/>
        <v>478450.94161899999</v>
      </c>
      <c r="CB68" s="56">
        <f t="shared" si="213"/>
        <v>533270.37581710005</v>
      </c>
      <c r="CC68" s="56">
        <f t="shared" si="213"/>
        <v>612946.34964986995</v>
      </c>
      <c r="CD68" s="56">
        <f t="shared" si="213"/>
        <v>610050.34750554012</v>
      </c>
      <c r="CE68" s="56">
        <f t="shared" si="213"/>
        <v>594396.62056031998</v>
      </c>
      <c r="CF68" s="56">
        <f t="shared" si="213"/>
        <v>589183.15986928006</v>
      </c>
      <c r="CG68" s="56">
        <f t="shared" si="213"/>
        <v>642625.05433907988</v>
      </c>
      <c r="CH68" s="56">
        <f t="shared" si="213"/>
        <v>666656.8492675001</v>
      </c>
      <c r="CI68" s="56">
        <f t="shared" si="213"/>
        <v>700582.01326434</v>
      </c>
      <c r="CJ68" s="56">
        <f t="shared" si="213"/>
        <v>698657.44024776004</v>
      </c>
      <c r="CK68" s="56">
        <f t="shared" si="213"/>
        <v>800340.40706045995</v>
      </c>
      <c r="CL68" s="56">
        <f t="shared" si="213"/>
        <v>895269.03987536975</v>
      </c>
      <c r="CM68" s="56">
        <f t="shared" si="213"/>
        <v>910569.09335682006</v>
      </c>
      <c r="CN68" s="56">
        <f t="shared" si="213"/>
        <v>949523.15115299996</v>
      </c>
      <c r="CO68" s="56">
        <f t="shared" si="213"/>
        <v>1106670.12324531</v>
      </c>
      <c r="CP68" s="56">
        <f t="shared" ref="CP68:CQ68" si="214">CP21</f>
        <v>1251675.0377708201</v>
      </c>
      <c r="CQ68" s="56">
        <f t="shared" si="214"/>
        <v>1359501.36120526</v>
      </c>
      <c r="CR68" s="56">
        <f t="shared" ref="CR68:CS68" si="215">CR21</f>
        <v>1437219.6741746999</v>
      </c>
      <c r="CS68" s="56">
        <f t="shared" si="215"/>
        <v>1824140</v>
      </c>
      <c r="CT68" s="56">
        <f t="shared" ref="CT68:CU68" si="216">CT21</f>
        <v>1940155</v>
      </c>
      <c r="CU68" s="56">
        <f t="shared" si="216"/>
        <v>1961895</v>
      </c>
      <c r="CV68" s="56">
        <f t="shared" ref="CV68:CW68" si="217">CV21</f>
        <v>2009109</v>
      </c>
      <c r="CW68" s="56">
        <f t="shared" si="217"/>
        <v>2107829</v>
      </c>
      <c r="CX68" s="56">
        <f t="shared" ref="CX68:CY68" si="218">CX21</f>
        <v>2275380</v>
      </c>
      <c r="CY68" s="56">
        <f t="shared" si="218"/>
        <v>2256655</v>
      </c>
      <c r="CZ68" s="56">
        <f t="shared" ref="CZ68" si="219">CZ21</f>
        <v>2310854</v>
      </c>
      <c r="DA68" s="55">
        <f>Assumptions!DA60*'Balance Sheet'!DA69</f>
        <v>2396227.386012116</v>
      </c>
      <c r="DB68" s="55">
        <f>Assumptions!DB60*'Balance Sheet'!DB69</f>
        <v>2291320.750075344</v>
      </c>
      <c r="DC68" s="55">
        <f>Assumptions!DC60*'Balance Sheet'!DC69</f>
        <v>2431526.7842031331</v>
      </c>
      <c r="DD68" s="55">
        <f>Assumptions!DD60*'Balance Sheet'!DD69</f>
        <v>2398665.1488455865</v>
      </c>
      <c r="DE68" s="55">
        <f>Assumptions!DE60*'Balance Sheet'!DE69</f>
        <v>2526835.9177923752</v>
      </c>
      <c r="DF68" s="55">
        <f>Assumptions!DF60*'Balance Sheet'!DF69</f>
        <v>2488154.1254083952</v>
      </c>
      <c r="DG68" s="55">
        <f>Assumptions!DG60*'Balance Sheet'!DG69</f>
        <v>2603510.1852903669</v>
      </c>
      <c r="DH68" s="55">
        <f>Assumptions!DH60*'Balance Sheet'!DH69</f>
        <v>2571556.880480431</v>
      </c>
      <c r="DI68" s="55">
        <f>Assumptions!DI60*'Balance Sheet'!DI69</f>
        <v>2671387.5473392517</v>
      </c>
      <c r="DJ68" s="55">
        <f>Assumptions!DJ60*'Balance Sheet'!DJ69</f>
        <v>2702387.9676752998</v>
      </c>
      <c r="DK68" s="55">
        <f>Assumptions!DK60*'Balance Sheet'!DK69</f>
        <v>2852194.868310303</v>
      </c>
      <c r="DL68" s="55">
        <f>Assumptions!DL60*'Balance Sheet'!DL69</f>
        <v>2880423.8332664128</v>
      </c>
      <c r="DM68" s="55">
        <f>Assumptions!DM60*'Balance Sheet'!DM69</f>
        <v>3023920.8444851651</v>
      </c>
      <c r="DN68" s="55">
        <f>Assumptions!DN60*'Balance Sheet'!DN69</f>
        <v>3067292.7270052019</v>
      </c>
      <c r="DO68" s="55">
        <f>Assumptions!DO60*'Balance Sheet'!DO69</f>
        <v>3217356.0605667392</v>
      </c>
      <c r="DP68" s="55">
        <f>Assumptions!DP60*'Balance Sheet'!DP69</f>
        <v>3269225.7398031731</v>
      </c>
      <c r="DQ68" s="55">
        <f>Assumptions!DQ60*'Balance Sheet'!DQ69</f>
        <v>3410105.1456584833</v>
      </c>
      <c r="DR68" s="55">
        <f>Assumptions!DR60*'Balance Sheet'!DR69</f>
        <v>3480815.288197346</v>
      </c>
      <c r="DS68" s="55">
        <f>Assumptions!DS60*'Balance Sheet'!DS69</f>
        <v>3627410.7774267364</v>
      </c>
      <c r="DT68" s="55">
        <f>Assumptions!DT60*'Balance Sheet'!DT69</f>
        <v>3719504.56384185</v>
      </c>
      <c r="DU68" s="55">
        <f>Assumptions!DU60*'Balance Sheet'!DU69</f>
        <v>3846013.8071047314</v>
      </c>
      <c r="DV68" s="55">
        <f>Assumptions!DV60*'Balance Sheet'!DV69</f>
        <v>3962658.1938014831</v>
      </c>
      <c r="DW68" s="55">
        <f>Assumptions!DW60*'Balance Sheet'!DW69</f>
        <v>4095740.5685487664</v>
      </c>
      <c r="DX68" s="55">
        <f>Assumptions!DX60*'Balance Sheet'!DX69</f>
        <v>4234715.1391586317</v>
      </c>
    </row>
    <row r="69" spans="1:128" s="31" customFormat="1">
      <c r="A69" s="173" t="s">
        <v>177</v>
      </c>
      <c r="B69" s="46">
        <f t="shared" ref="B69:X69" si="220">+B67+B68</f>
        <v>0</v>
      </c>
      <c r="C69" s="46">
        <f t="shared" si="220"/>
        <v>0</v>
      </c>
      <c r="D69" s="46">
        <f t="shared" si="220"/>
        <v>0</v>
      </c>
      <c r="E69" s="46">
        <f t="shared" si="220"/>
        <v>0</v>
      </c>
      <c r="F69" s="46">
        <f t="shared" si="220"/>
        <v>0</v>
      </c>
      <c r="G69" s="46">
        <f t="shared" si="220"/>
        <v>0</v>
      </c>
      <c r="H69" s="46">
        <f t="shared" si="220"/>
        <v>0</v>
      </c>
      <c r="I69" s="46">
        <f t="shared" si="220"/>
        <v>0</v>
      </c>
      <c r="J69" s="46">
        <f t="shared" si="220"/>
        <v>0</v>
      </c>
      <c r="K69" s="46">
        <f t="shared" si="220"/>
        <v>0</v>
      </c>
      <c r="L69" s="46">
        <f t="shared" si="220"/>
        <v>0</v>
      </c>
      <c r="M69" s="46">
        <f t="shared" si="220"/>
        <v>0</v>
      </c>
      <c r="N69" s="46">
        <f t="shared" si="220"/>
        <v>33509313.666521911</v>
      </c>
      <c r="O69" s="46">
        <f t="shared" si="220"/>
        <v>40430942.738348782</v>
      </c>
      <c r="P69" s="46">
        <f t="shared" si="220"/>
        <v>47025697.518400647</v>
      </c>
      <c r="Q69" s="48">
        <f t="shared" si="220"/>
        <v>54765126.823165491</v>
      </c>
      <c r="R69" s="48">
        <f t="shared" si="220"/>
        <v>64294240.618564442</v>
      </c>
      <c r="S69" s="48">
        <f t="shared" si="220"/>
        <v>79889947</v>
      </c>
      <c r="T69" s="46">
        <f t="shared" si="220"/>
        <v>90328499</v>
      </c>
      <c r="U69" s="45">
        <f t="shared" si="220"/>
        <v>101343920.43586904</v>
      </c>
      <c r="V69" s="45">
        <f t="shared" si="220"/>
        <v>114739522.01051259</v>
      </c>
      <c r="W69" s="45">
        <f t="shared" si="220"/>
        <v>129324678.95085254</v>
      </c>
      <c r="X69" s="45">
        <f t="shared" si="220"/>
        <v>146036200.93916294</v>
      </c>
      <c r="Y69" s="45">
        <f t="shared" ref="Y69:Z69" si="221">+Y67+Y68</f>
        <v>165725111.91594812</v>
      </c>
      <c r="Z69" s="45">
        <f t="shared" si="221"/>
        <v>188810574.33231142</v>
      </c>
      <c r="AB69" s="173" t="s">
        <v>177</v>
      </c>
      <c r="AC69" s="46">
        <f t="shared" ref="AC69" si="222">+AC67+AC68</f>
        <v>0</v>
      </c>
      <c r="AD69" s="46">
        <f t="shared" ref="AD69:BX69" si="223">+AD67+AD68</f>
        <v>0</v>
      </c>
      <c r="AE69" s="46">
        <f t="shared" si="223"/>
        <v>0</v>
      </c>
      <c r="AF69" s="46">
        <f t="shared" si="223"/>
        <v>0</v>
      </c>
      <c r="AG69" s="46">
        <f t="shared" si="223"/>
        <v>0</v>
      </c>
      <c r="AH69" s="46">
        <f t="shared" si="223"/>
        <v>0</v>
      </c>
      <c r="AI69" s="46">
        <f t="shared" si="223"/>
        <v>0</v>
      </c>
      <c r="AJ69" s="46">
        <f t="shared" si="223"/>
        <v>0</v>
      </c>
      <c r="AK69" s="46">
        <f t="shared" si="223"/>
        <v>0</v>
      </c>
      <c r="AL69" s="46">
        <f t="shared" si="223"/>
        <v>0</v>
      </c>
      <c r="AM69" s="46">
        <f t="shared" si="223"/>
        <v>0</v>
      </c>
      <c r="AN69" s="46">
        <f t="shared" si="223"/>
        <v>0</v>
      </c>
      <c r="AO69" s="46">
        <f t="shared" si="223"/>
        <v>0</v>
      </c>
      <c r="AP69" s="46">
        <f t="shared" si="223"/>
        <v>0</v>
      </c>
      <c r="AQ69" s="46">
        <f t="shared" si="223"/>
        <v>0</v>
      </c>
      <c r="AR69" s="46">
        <f t="shared" si="223"/>
        <v>0</v>
      </c>
      <c r="AS69" s="46">
        <f t="shared" si="223"/>
        <v>0</v>
      </c>
      <c r="AT69" s="46">
        <f t="shared" si="223"/>
        <v>0</v>
      </c>
      <c r="AU69" s="46">
        <f t="shared" si="223"/>
        <v>0</v>
      </c>
      <c r="AV69" s="46">
        <f t="shared" si="223"/>
        <v>0</v>
      </c>
      <c r="AW69" s="46">
        <f t="shared" si="223"/>
        <v>0</v>
      </c>
      <c r="AX69" s="46">
        <f t="shared" si="223"/>
        <v>0</v>
      </c>
      <c r="AY69" s="46">
        <f t="shared" si="223"/>
        <v>0</v>
      </c>
      <c r="AZ69" s="46">
        <f t="shared" si="223"/>
        <v>0</v>
      </c>
      <c r="BA69" s="46">
        <f t="shared" si="223"/>
        <v>0</v>
      </c>
      <c r="BB69" s="46">
        <f t="shared" si="223"/>
        <v>0</v>
      </c>
      <c r="BC69" s="46">
        <f t="shared" si="223"/>
        <v>0</v>
      </c>
      <c r="BD69" s="46">
        <f t="shared" si="223"/>
        <v>0</v>
      </c>
      <c r="BE69" s="46">
        <f t="shared" si="223"/>
        <v>0</v>
      </c>
      <c r="BF69" s="46">
        <f t="shared" si="223"/>
        <v>0</v>
      </c>
      <c r="BG69" s="46">
        <f t="shared" si="223"/>
        <v>0</v>
      </c>
      <c r="BH69" s="46">
        <f t="shared" si="223"/>
        <v>0</v>
      </c>
      <c r="BI69" s="46">
        <f t="shared" si="223"/>
        <v>0</v>
      </c>
      <c r="BJ69" s="46">
        <f t="shared" si="223"/>
        <v>0</v>
      </c>
      <c r="BK69" s="46">
        <f t="shared" si="223"/>
        <v>0</v>
      </c>
      <c r="BL69" s="46">
        <f t="shared" si="223"/>
        <v>0</v>
      </c>
      <c r="BM69" s="46">
        <f t="shared" si="223"/>
        <v>0</v>
      </c>
      <c r="BN69" s="46">
        <f t="shared" si="223"/>
        <v>0</v>
      </c>
      <c r="BO69" s="46">
        <f t="shared" si="223"/>
        <v>0</v>
      </c>
      <c r="BP69" s="46">
        <f t="shared" si="223"/>
        <v>0</v>
      </c>
      <c r="BQ69" s="46">
        <f t="shared" si="223"/>
        <v>0</v>
      </c>
      <c r="BR69" s="46">
        <f t="shared" si="223"/>
        <v>0</v>
      </c>
      <c r="BS69" s="46">
        <f t="shared" si="223"/>
        <v>0</v>
      </c>
      <c r="BT69" s="46">
        <f t="shared" si="223"/>
        <v>0</v>
      </c>
      <c r="BU69" s="46">
        <f t="shared" si="223"/>
        <v>0</v>
      </c>
      <c r="BV69" s="46">
        <f t="shared" si="223"/>
        <v>0</v>
      </c>
      <c r="BW69" s="46">
        <f t="shared" si="223"/>
        <v>0</v>
      </c>
      <c r="BX69" s="46">
        <f t="shared" si="223"/>
        <v>0</v>
      </c>
      <c r="BY69" s="46">
        <f t="shared" ref="BY69:CN69" si="224">+BY67+BY68</f>
        <v>31988558.749551374</v>
      </c>
      <c r="BZ69" s="46">
        <f t="shared" si="224"/>
        <v>31917102.137638196</v>
      </c>
      <c r="CA69" s="46">
        <f t="shared" si="224"/>
        <v>30788032.590499517</v>
      </c>
      <c r="CB69" s="46">
        <f t="shared" si="224"/>
        <v>33509313.666521911</v>
      </c>
      <c r="CC69" s="46">
        <f t="shared" si="224"/>
        <v>33872841.148732089</v>
      </c>
      <c r="CD69" s="46">
        <f t="shared" si="224"/>
        <v>35883409.519024737</v>
      </c>
      <c r="CE69" s="46">
        <f t="shared" si="224"/>
        <v>37371601.698934898</v>
      </c>
      <c r="CF69" s="46">
        <f t="shared" si="224"/>
        <v>40430942.738348782</v>
      </c>
      <c r="CG69" s="46">
        <f t="shared" si="224"/>
        <v>41154574.696795918</v>
      </c>
      <c r="CH69" s="46">
        <f t="shared" si="224"/>
        <v>44529766.064014427</v>
      </c>
      <c r="CI69" s="46">
        <f t="shared" si="224"/>
        <v>45480720.819672905</v>
      </c>
      <c r="CJ69" s="46">
        <f t="shared" si="224"/>
        <v>47025697.518400647</v>
      </c>
      <c r="CK69" s="46">
        <f t="shared" si="224"/>
        <v>48258094.014933385</v>
      </c>
      <c r="CL69" s="46">
        <f t="shared" si="224"/>
        <v>51369260.814578041</v>
      </c>
      <c r="CM69" s="46">
        <f t="shared" si="224"/>
        <v>52706842.399265945</v>
      </c>
      <c r="CN69" s="46">
        <f t="shared" si="224"/>
        <v>54765126.823165491</v>
      </c>
      <c r="CO69" s="46">
        <f t="shared" ref="CO69:CP69" si="225">+CO67+CO68</f>
        <v>56114025.908192262</v>
      </c>
      <c r="CP69" s="46">
        <f t="shared" si="225"/>
        <v>59404148.551029876</v>
      </c>
      <c r="CQ69" s="46">
        <f t="shared" ref="CQ69:CR69" si="226">+CQ67+CQ68</f>
        <v>62358184.714045219</v>
      </c>
      <c r="CR69" s="46">
        <f t="shared" si="226"/>
        <v>64294240.618564442</v>
      </c>
      <c r="CS69" s="46">
        <f t="shared" ref="CS69:CT69" si="227">+CS67+CS68</f>
        <v>70447216</v>
      </c>
      <c r="CT69" s="46">
        <f t="shared" si="227"/>
        <v>73464928</v>
      </c>
      <c r="CU69" s="46">
        <f t="shared" ref="CU69:CV69" si="228">+CU67+CU68</f>
        <v>75680558</v>
      </c>
      <c r="CV69" s="46">
        <f t="shared" si="228"/>
        <v>79889947</v>
      </c>
      <c r="CW69" s="46">
        <f t="shared" ref="CW69:CX69" si="229">+CW67+CW68</f>
        <v>81620723</v>
      </c>
      <c r="CX69" s="46">
        <f t="shared" si="229"/>
        <v>83503212</v>
      </c>
      <c r="CY69" s="46">
        <f t="shared" ref="CY69:CZ69" si="230">+CY67+CY68</f>
        <v>87842690</v>
      </c>
      <c r="CZ69" s="46">
        <f t="shared" si="230"/>
        <v>90328499</v>
      </c>
      <c r="DA69" s="45">
        <f t="shared" ref="DA69" si="231">2*DA71-CZ69</f>
        <v>96947891.25413096</v>
      </c>
      <c r="DB69" s="45">
        <f t="shared" ref="DB69" si="232">2*DB71-DA69</f>
        <v>95563420.135869026</v>
      </c>
      <c r="DC69" s="45">
        <f t="shared" ref="DC69" si="233">2*DC71-DB69</f>
        <v>102038397.27413091</v>
      </c>
      <c r="DD69" s="45">
        <f t="shared" ref="DD69" si="234">2*DD71-DC69</f>
        <v>101343920.43586904</v>
      </c>
      <c r="DE69" s="45">
        <f t="shared" ref="DE69" si="235">2*DE71-DD69</f>
        <v>107879397.7950142</v>
      </c>
      <c r="DF69" s="45">
        <f t="shared" ref="DF69" si="236">2*DF71-DE69</f>
        <v>107955265.38990319</v>
      </c>
      <c r="DG69" s="45">
        <f t="shared" ref="DG69" si="237">2*DG71-DF69</f>
        <v>114621014.52956018</v>
      </c>
      <c r="DH69" s="45">
        <f t="shared" ref="DH69" si="238">2*DH71-DG69</f>
        <v>114739522.01051259</v>
      </c>
      <c r="DI69" s="45">
        <f t="shared" ref="DI69" si="239">2*DI71-DH69</f>
        <v>121099420.80478632</v>
      </c>
      <c r="DJ69" s="45">
        <f t="shared" ref="DJ69" si="240">2*DJ71-DI69</f>
        <v>121892817.36813849</v>
      </c>
      <c r="DK69" s="45">
        <f t="shared" ref="DK69" si="241">2*DK71-DJ69</f>
        <v>128402108.39884976</v>
      </c>
      <c r="DL69" s="45">
        <f t="shared" ref="DL69" si="242">2*DL71-DK69</f>
        <v>129324678.95085254</v>
      </c>
      <c r="DM69" s="45">
        <f t="shared" ref="DM69" si="243">2*DM71-DL69</f>
        <v>135720187.25985566</v>
      </c>
      <c r="DN69" s="45">
        <f t="shared" ref="DN69" si="244">2*DN71-DM69</f>
        <v>137516648.06801209</v>
      </c>
      <c r="DO69" s="45">
        <f t="shared" ref="DO69" si="245">2*DO71-DN69</f>
        <v>144013025.00951079</v>
      </c>
      <c r="DP69" s="45">
        <f t="shared" ref="DP69" si="246">2*DP71-DO69</f>
        <v>146036200.93916294</v>
      </c>
      <c r="DQ69" s="45">
        <f t="shared" ref="DQ69" si="247">2*DQ71-DP69</f>
        <v>152368062.13863751</v>
      </c>
      <c r="DR69" s="45">
        <f t="shared" ref="DR69" si="248">2*DR71-DQ69</f>
        <v>155440667.22190151</v>
      </c>
      <c r="DS69" s="45">
        <f t="shared" ref="DS69" si="249">2*DS71-DR69</f>
        <v>161712418.37376717</v>
      </c>
      <c r="DT69" s="45">
        <f t="shared" ref="DT69" si="250">2*DT71-DS69</f>
        <v>165725111.91594812</v>
      </c>
      <c r="DU69" s="45">
        <f t="shared" ref="DU69" si="251">2*DU71-DT69</f>
        <v>171540271.02856478</v>
      </c>
      <c r="DV69" s="45">
        <f t="shared" ref="DV69" si="252">2*DV71-DU69</f>
        <v>176780393.64576033</v>
      </c>
      <c r="DW69" s="45">
        <f t="shared" ref="DW69" si="253">2*DW71-DV69</f>
        <v>182574366.65211055</v>
      </c>
      <c r="DX69" s="45">
        <f t="shared" ref="DX69" si="254">2*DX71-DW69</f>
        <v>188810574.33231142</v>
      </c>
    </row>
    <row r="70" spans="1:128" s="31" customFormat="1">
      <c r="A70" s="17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8"/>
      <c r="R70" s="48"/>
      <c r="S70" s="48"/>
      <c r="T70" s="46"/>
      <c r="U70" s="45"/>
      <c r="V70" s="45"/>
      <c r="W70" s="45"/>
      <c r="X70" s="45"/>
      <c r="Y70" s="45"/>
      <c r="Z70" s="45"/>
      <c r="AB70" s="173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55"/>
      <c r="DB70" s="55"/>
      <c r="DC70" s="55"/>
      <c r="DD70" s="55"/>
      <c r="DE70" s="55"/>
      <c r="DF70" s="55"/>
      <c r="DG70" s="55"/>
      <c r="DH70" s="55"/>
      <c r="DI70" s="55"/>
      <c r="DJ70" s="55"/>
      <c r="DK70" s="55"/>
      <c r="DL70" s="55"/>
      <c r="DM70" s="55"/>
      <c r="DN70" s="55"/>
      <c r="DO70" s="55"/>
      <c r="DP70" s="55"/>
      <c r="DQ70" s="55"/>
      <c r="DR70" s="55"/>
      <c r="DS70" s="55"/>
      <c r="DT70" s="55"/>
      <c r="DU70" s="55"/>
      <c r="DV70" s="55"/>
      <c r="DW70" s="55"/>
      <c r="DX70" s="55"/>
    </row>
    <row r="71" spans="1:128" s="31" customFormat="1">
      <c r="A71" s="173" t="s">
        <v>465</v>
      </c>
      <c r="B71" s="46">
        <f t="shared" ref="B71:Z71" si="255">+AVERAGE(A69:B69)</f>
        <v>0</v>
      </c>
      <c r="C71" s="46">
        <f t="shared" si="255"/>
        <v>0</v>
      </c>
      <c r="D71" s="46">
        <f t="shared" si="255"/>
        <v>0</v>
      </c>
      <c r="E71" s="46">
        <f t="shared" si="255"/>
        <v>0</v>
      </c>
      <c r="F71" s="46">
        <f t="shared" si="255"/>
        <v>0</v>
      </c>
      <c r="G71" s="46">
        <f t="shared" si="255"/>
        <v>0</v>
      </c>
      <c r="H71" s="46">
        <f t="shared" si="255"/>
        <v>0</v>
      </c>
      <c r="I71" s="46">
        <f t="shared" si="255"/>
        <v>0</v>
      </c>
      <c r="J71" s="46">
        <f t="shared" si="255"/>
        <v>0</v>
      </c>
      <c r="K71" s="46">
        <f t="shared" si="255"/>
        <v>0</v>
      </c>
      <c r="L71" s="46">
        <f t="shared" si="255"/>
        <v>0</v>
      </c>
      <c r="M71" s="46">
        <f t="shared" si="255"/>
        <v>0</v>
      </c>
      <c r="N71" s="46">
        <f t="shared" si="255"/>
        <v>16754656.833260955</v>
      </c>
      <c r="O71" s="46">
        <f t="shared" si="255"/>
        <v>36970128.202435344</v>
      </c>
      <c r="P71" s="46">
        <f t="shared" si="255"/>
        <v>43728320.128374711</v>
      </c>
      <c r="Q71" s="48">
        <f t="shared" si="255"/>
        <v>50895412.170783073</v>
      </c>
      <c r="R71" s="48">
        <f t="shared" si="255"/>
        <v>59529683.720864967</v>
      </c>
      <c r="S71" s="48">
        <f t="shared" si="255"/>
        <v>72092093.809282213</v>
      </c>
      <c r="T71" s="46">
        <f t="shared" si="255"/>
        <v>85109223</v>
      </c>
      <c r="U71" s="45">
        <f t="shared" si="255"/>
        <v>95836209.717934519</v>
      </c>
      <c r="V71" s="45">
        <f t="shared" si="255"/>
        <v>108041721.22319081</v>
      </c>
      <c r="W71" s="45">
        <f t="shared" si="255"/>
        <v>122032100.48068257</v>
      </c>
      <c r="X71" s="45">
        <f t="shared" si="255"/>
        <v>137680439.94500774</v>
      </c>
      <c r="Y71" s="45">
        <f t="shared" si="255"/>
        <v>155880656.42755553</v>
      </c>
      <c r="Z71" s="45">
        <f t="shared" si="255"/>
        <v>177267843.12412977</v>
      </c>
      <c r="AB71" s="173" t="s">
        <v>465</v>
      </c>
      <c r="AC71" s="46">
        <f t="shared" ref="AC71" si="256">+AVERAGE(AB69:AC69)</f>
        <v>0</v>
      </c>
      <c r="AD71" s="46">
        <f t="shared" ref="AD71" si="257">+AVERAGE(AC69:AD69)</f>
        <v>0</v>
      </c>
      <c r="AE71" s="46">
        <f t="shared" ref="AE71" si="258">+AVERAGE(AD69:AE69)</f>
        <v>0</v>
      </c>
      <c r="AF71" s="46">
        <f t="shared" ref="AF71" si="259">+AVERAGE(AE69:AF69)</f>
        <v>0</v>
      </c>
      <c r="AG71" s="46">
        <f t="shared" ref="AG71" si="260">+AVERAGE(AF69:AG69)</f>
        <v>0</v>
      </c>
      <c r="AH71" s="46">
        <f t="shared" ref="AH71" si="261">+AVERAGE(AG69:AH69)</f>
        <v>0</v>
      </c>
      <c r="AI71" s="46">
        <f t="shared" ref="AI71" si="262">+AVERAGE(AH69:AI69)</f>
        <v>0</v>
      </c>
      <c r="AJ71" s="46">
        <f t="shared" ref="AJ71" si="263">+AVERAGE(AI69:AJ69)</f>
        <v>0</v>
      </c>
      <c r="AK71" s="46">
        <f t="shared" ref="AK71" si="264">+AVERAGE(AJ69:AK69)</f>
        <v>0</v>
      </c>
      <c r="AL71" s="46">
        <f t="shared" ref="AL71" si="265">+AVERAGE(AK69:AL69)</f>
        <v>0</v>
      </c>
      <c r="AM71" s="46">
        <f t="shared" ref="AM71" si="266">+AVERAGE(AL69:AM69)</f>
        <v>0</v>
      </c>
      <c r="AN71" s="46">
        <f t="shared" ref="AN71" si="267">+AVERAGE(AM69:AN69)</f>
        <v>0</v>
      </c>
      <c r="AO71" s="46">
        <f t="shared" ref="AO71" si="268">+AVERAGE(AN69:AO69)</f>
        <v>0</v>
      </c>
      <c r="AP71" s="46">
        <f t="shared" ref="AP71" si="269">+AVERAGE(AO69:AP69)</f>
        <v>0</v>
      </c>
      <c r="AQ71" s="46">
        <f t="shared" ref="AQ71" si="270">+AVERAGE(AP69:AQ69)</f>
        <v>0</v>
      </c>
      <c r="AR71" s="46">
        <f t="shared" ref="AR71" si="271">+AVERAGE(AQ69:AR69)</f>
        <v>0</v>
      </c>
      <c r="AS71" s="46">
        <f t="shared" ref="AS71" si="272">+AVERAGE(AR69:AS69)</f>
        <v>0</v>
      </c>
      <c r="AT71" s="46">
        <f t="shared" ref="AT71" si="273">+AVERAGE(AS69:AT69)</f>
        <v>0</v>
      </c>
      <c r="AU71" s="46">
        <f t="shared" ref="AU71" si="274">+AVERAGE(AT69:AU69)</f>
        <v>0</v>
      </c>
      <c r="AV71" s="46">
        <f t="shared" ref="AV71" si="275">+AVERAGE(AU69:AV69)</f>
        <v>0</v>
      </c>
      <c r="AW71" s="46">
        <f t="shared" ref="AW71" si="276">+AVERAGE(AV69:AW69)</f>
        <v>0</v>
      </c>
      <c r="AX71" s="46">
        <f t="shared" ref="AX71" si="277">+AVERAGE(AW69:AX69)</f>
        <v>0</v>
      </c>
      <c r="AY71" s="46">
        <f t="shared" ref="AY71" si="278">+AVERAGE(AX69:AY69)</f>
        <v>0</v>
      </c>
      <c r="AZ71" s="46">
        <f t="shared" ref="AZ71" si="279">+AVERAGE(AY69:AZ69)</f>
        <v>0</v>
      </c>
      <c r="BA71" s="46">
        <f t="shared" ref="BA71" si="280">+AVERAGE(AZ69:BA69)</f>
        <v>0</v>
      </c>
      <c r="BB71" s="46">
        <f t="shared" ref="BB71" si="281">+AVERAGE(BA69:BB69)</f>
        <v>0</v>
      </c>
      <c r="BC71" s="46">
        <f t="shared" ref="BC71" si="282">+AVERAGE(BB69:BC69)</f>
        <v>0</v>
      </c>
      <c r="BD71" s="46">
        <f t="shared" ref="BD71" si="283">+AVERAGE(BC69:BD69)</f>
        <v>0</v>
      </c>
      <c r="BE71" s="46">
        <f t="shared" ref="BE71" si="284">+AVERAGE(BD69:BE69)</f>
        <v>0</v>
      </c>
      <c r="BF71" s="46">
        <f t="shared" ref="BF71" si="285">+AVERAGE(BE69:BF69)</f>
        <v>0</v>
      </c>
      <c r="BG71" s="46">
        <f t="shared" ref="BG71" si="286">+AVERAGE(BF69:BG69)</f>
        <v>0</v>
      </c>
      <c r="BH71" s="46">
        <f t="shared" ref="BH71" si="287">+AVERAGE(BG69:BH69)</f>
        <v>0</v>
      </c>
      <c r="BI71" s="46">
        <f t="shared" ref="BI71" si="288">+AVERAGE(BH69:BI69)</f>
        <v>0</v>
      </c>
      <c r="BJ71" s="46">
        <f t="shared" ref="BJ71" si="289">+AVERAGE(BI69:BJ69)</f>
        <v>0</v>
      </c>
      <c r="BK71" s="46">
        <f t="shared" ref="BK71" si="290">+AVERAGE(BJ69:BK69)</f>
        <v>0</v>
      </c>
      <c r="BL71" s="46">
        <f t="shared" ref="BL71" si="291">+AVERAGE(BK69:BL69)</f>
        <v>0</v>
      </c>
      <c r="BM71" s="46">
        <f t="shared" ref="BM71" si="292">+AVERAGE(BL69:BM69)</f>
        <v>0</v>
      </c>
      <c r="BN71" s="46">
        <f t="shared" ref="BN71" si="293">+AVERAGE(BM69:BN69)</f>
        <v>0</v>
      </c>
      <c r="BO71" s="46">
        <f t="shared" ref="BO71" si="294">+AVERAGE(BN69:BO69)</f>
        <v>0</v>
      </c>
      <c r="BP71" s="46">
        <f t="shared" ref="BP71" si="295">+AVERAGE(BO69:BP69)</f>
        <v>0</v>
      </c>
      <c r="BQ71" s="46">
        <f t="shared" ref="BQ71" si="296">+AVERAGE(BP69:BQ69)</f>
        <v>0</v>
      </c>
      <c r="BR71" s="46">
        <f t="shared" ref="BR71" si="297">+AVERAGE(BQ69:BR69)</f>
        <v>0</v>
      </c>
      <c r="BS71" s="46">
        <f t="shared" ref="BS71" si="298">+AVERAGE(BR69:BS69)</f>
        <v>0</v>
      </c>
      <c r="BT71" s="46">
        <f t="shared" ref="BT71" si="299">+AVERAGE(BS69:BT69)</f>
        <v>0</v>
      </c>
      <c r="BU71" s="46">
        <f t="shared" ref="BU71" si="300">+AVERAGE(BT69:BU69)</f>
        <v>0</v>
      </c>
      <c r="BV71" s="46">
        <f t="shared" ref="BV71" si="301">+AVERAGE(BU69:BV69)</f>
        <v>0</v>
      </c>
      <c r="BW71" s="46">
        <f t="shared" ref="BW71" si="302">+AVERAGE(BV69:BW69)</f>
        <v>0</v>
      </c>
      <c r="BX71" s="46">
        <f t="shared" ref="BX71" si="303">+AVERAGE(BW69:BX69)</f>
        <v>0</v>
      </c>
      <c r="BY71" s="46">
        <f t="shared" ref="BY71:CN71" si="304">+AVERAGE(BX69:BY69)</f>
        <v>15994279.374775687</v>
      </c>
      <c r="BZ71" s="46">
        <f t="shared" si="304"/>
        <v>31952830.443594784</v>
      </c>
      <c r="CA71" s="46">
        <f t="shared" si="304"/>
        <v>31352567.364068858</v>
      </c>
      <c r="CB71" s="46">
        <f t="shared" si="304"/>
        <v>32148673.128510714</v>
      </c>
      <c r="CC71" s="46">
        <f t="shared" si="304"/>
        <v>33691077.407627001</v>
      </c>
      <c r="CD71" s="46">
        <f t="shared" si="304"/>
        <v>34878125.333878413</v>
      </c>
      <c r="CE71" s="46">
        <f t="shared" si="304"/>
        <v>36627505.608979821</v>
      </c>
      <c r="CF71" s="46">
        <f t="shared" si="304"/>
        <v>38901272.21864184</v>
      </c>
      <c r="CG71" s="46">
        <f t="shared" si="304"/>
        <v>40792758.717572346</v>
      </c>
      <c r="CH71" s="46">
        <f t="shared" si="304"/>
        <v>42842170.380405173</v>
      </c>
      <c r="CI71" s="46">
        <f t="shared" si="304"/>
        <v>45005243.441843666</v>
      </c>
      <c r="CJ71" s="46">
        <f t="shared" si="304"/>
        <v>46253209.169036776</v>
      </c>
      <c r="CK71" s="46">
        <f t="shared" si="304"/>
        <v>47641895.766667016</v>
      </c>
      <c r="CL71" s="46">
        <f t="shared" si="304"/>
        <v>49813677.414755717</v>
      </c>
      <c r="CM71" s="46">
        <f t="shared" si="304"/>
        <v>52038051.606921993</v>
      </c>
      <c r="CN71" s="46">
        <f t="shared" si="304"/>
        <v>53735984.611215718</v>
      </c>
      <c r="CO71" s="46">
        <f t="shared" ref="CO71" si="305">+AVERAGE(CN69:CO69)</f>
        <v>55439576.365678877</v>
      </c>
      <c r="CP71" s="46">
        <f t="shared" ref="CP71" si="306">+AVERAGE(CO69:CP69)</f>
        <v>57759087.229611069</v>
      </c>
      <c r="CQ71" s="46">
        <f t="shared" ref="CQ71" si="307">+AVERAGE(CP69:CQ69)</f>
        <v>60881166.632537544</v>
      </c>
      <c r="CR71" s="46">
        <f t="shared" ref="CR71" si="308">+AVERAGE(CQ69:CR69)</f>
        <v>63326212.666304827</v>
      </c>
      <c r="CS71" s="46">
        <f t="shared" ref="CS71" si="309">+AVERAGE(CR69:CS69)</f>
        <v>67370728.309282213</v>
      </c>
      <c r="CT71" s="46">
        <f t="shared" ref="CT71:CZ71" si="310">+AVERAGE(CS69:CT69)</f>
        <v>71956072</v>
      </c>
      <c r="CU71" s="46">
        <f t="shared" si="310"/>
        <v>74572743</v>
      </c>
      <c r="CV71" s="46">
        <f t="shared" si="310"/>
        <v>77785252.5</v>
      </c>
      <c r="CW71" s="46">
        <f t="shared" si="310"/>
        <v>80755335</v>
      </c>
      <c r="CX71" s="46">
        <f t="shared" si="310"/>
        <v>82561967.5</v>
      </c>
      <c r="CY71" s="46">
        <f t="shared" si="310"/>
        <v>85672951</v>
      </c>
      <c r="CZ71" s="46">
        <f t="shared" si="310"/>
        <v>89085594.5</v>
      </c>
      <c r="DA71" s="45">
        <f>(1+Assumptions!DA59)*CZ71</f>
        <v>93638195.12706548</v>
      </c>
      <c r="DB71" s="45">
        <f>(1+Assumptions!DB59)*DA71</f>
        <v>96255655.694999993</v>
      </c>
      <c r="DC71" s="45">
        <f>(1+Assumptions!DC59)*DB71</f>
        <v>98800908.704999968</v>
      </c>
      <c r="DD71" s="45">
        <f>(1+Assumptions!DD59)*DC71</f>
        <v>101691158.85499997</v>
      </c>
      <c r="DE71" s="45">
        <f>(1+Assumptions!DE59)*DD71</f>
        <v>104611659.11544162</v>
      </c>
      <c r="DF71" s="45">
        <f>(1+Assumptions!DF59)*DE71</f>
        <v>107917331.5924587</v>
      </c>
      <c r="DG71" s="45">
        <f>(1+Assumptions!DG59)*DF71</f>
        <v>111288139.95973168</v>
      </c>
      <c r="DH71" s="45">
        <f>(1+Assumptions!DH59)*DG71</f>
        <v>114680268.27003638</v>
      </c>
      <c r="DI71" s="45">
        <f>(1+Assumptions!DI59)*DH71</f>
        <v>117919471.40764946</v>
      </c>
      <c r="DJ71" s="45">
        <f>(1+Assumptions!DJ59)*DI71</f>
        <v>121496119.08646241</v>
      </c>
      <c r="DK71" s="45">
        <f>(1+Assumptions!DK59)*DJ71</f>
        <v>125147462.88349412</v>
      </c>
      <c r="DL71" s="45">
        <f>(1+Assumptions!DL59)*DK71</f>
        <v>128863393.67485115</v>
      </c>
      <c r="DM71" s="45">
        <f>(1+Assumptions!DM59)*DL71</f>
        <v>132522433.1053541</v>
      </c>
      <c r="DN71" s="45">
        <f>(1+Assumptions!DN59)*DM71</f>
        <v>136618417.66393387</v>
      </c>
      <c r="DO71" s="45">
        <f>(1+Assumptions!DO59)*DN71</f>
        <v>140764836.53876144</v>
      </c>
      <c r="DP71" s="45">
        <f>(1+Assumptions!DP59)*DO71</f>
        <v>145024612.97433686</v>
      </c>
      <c r="DQ71" s="45">
        <f>(1+Assumptions!DQ59)*DP71</f>
        <v>149202131.53890023</v>
      </c>
      <c r="DR71" s="45">
        <f>(1+Assumptions!DR59)*DQ71</f>
        <v>153904364.68026951</v>
      </c>
      <c r="DS71" s="45">
        <f>(1+Assumptions!DS59)*DR71</f>
        <v>158576542.79783434</v>
      </c>
      <c r="DT71" s="45">
        <f>(1+Assumptions!DT59)*DS71</f>
        <v>163718765.14485765</v>
      </c>
      <c r="DU71" s="45">
        <f>(1+Assumptions!DU59)*DT71</f>
        <v>168632691.47225645</v>
      </c>
      <c r="DV71" s="45">
        <f>(1+Assumptions!DV59)*DU71</f>
        <v>174160332.33716255</v>
      </c>
      <c r="DW71" s="45">
        <f>(1+Assumptions!DW59)*DV71</f>
        <v>179677380.14893544</v>
      </c>
      <c r="DX71" s="45">
        <f>(1+Assumptions!DX59)*DW71</f>
        <v>185692470.49221098</v>
      </c>
    </row>
    <row r="72" spans="1:128" s="31" customFormat="1">
      <c r="A72" s="17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8"/>
      <c r="R72" s="48"/>
      <c r="S72" s="48"/>
      <c r="T72" s="46"/>
      <c r="U72" s="45"/>
      <c r="V72" s="45"/>
      <c r="W72" s="45"/>
      <c r="X72" s="45"/>
      <c r="Y72" s="45"/>
      <c r="Z72" s="45"/>
      <c r="AB72" s="171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155"/>
      <c r="CH72" s="155"/>
      <c r="CI72" s="155"/>
      <c r="CJ72" s="155"/>
      <c r="CK72" s="155"/>
      <c r="CL72" s="1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</row>
    <row r="73" spans="1:128" s="31" customFormat="1">
      <c r="A73" s="172" t="s">
        <v>176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8"/>
      <c r="R73" s="48"/>
      <c r="S73" s="48"/>
      <c r="T73" s="46"/>
      <c r="U73" s="45"/>
      <c r="V73" s="45"/>
      <c r="W73" s="45"/>
      <c r="X73" s="45"/>
      <c r="Y73" s="45"/>
      <c r="Z73" s="45"/>
      <c r="AB73" s="172" t="s">
        <v>176</v>
      </c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</row>
    <row r="74" spans="1:128" s="31" customFormat="1">
      <c r="A74" s="169" t="s">
        <v>167</v>
      </c>
      <c r="B74" s="56">
        <f>+AF74</f>
        <v>0</v>
      </c>
      <c r="C74" s="56">
        <f>+AJ74</f>
        <v>0</v>
      </c>
      <c r="D74" s="56">
        <f>+AN74</f>
        <v>0</v>
      </c>
      <c r="E74" s="56">
        <f>+AO74</f>
        <v>0</v>
      </c>
      <c r="F74" s="56">
        <f>+AV74</f>
        <v>0</v>
      </c>
      <c r="G74" s="56">
        <f>+AZ74</f>
        <v>0</v>
      </c>
      <c r="H74" s="56">
        <f>+BD74</f>
        <v>0</v>
      </c>
      <c r="I74" s="56">
        <f>+BH74</f>
        <v>0</v>
      </c>
      <c r="J74" s="56">
        <f>+BL74</f>
        <v>0</v>
      </c>
      <c r="K74" s="56">
        <f>+BP74</f>
        <v>0</v>
      </c>
      <c r="L74" s="56">
        <f>+BT74</f>
        <v>0</v>
      </c>
      <c r="M74" s="56">
        <f>+BX74</f>
        <v>0</v>
      </c>
      <c r="N74" s="56">
        <f>+CB74</f>
        <v>-917381.94118871994</v>
      </c>
      <c r="O74" s="56">
        <f>+CF74</f>
        <v>-1147508.27238363</v>
      </c>
      <c r="P74" s="56">
        <f>+CJ74</f>
        <v>-1339809.7944088001</v>
      </c>
      <c r="Q74" s="58">
        <f>+CN74</f>
        <v>-1742172.2409302404</v>
      </c>
      <c r="R74" s="58">
        <f>+CR74</f>
        <v>-2210745.4455673601</v>
      </c>
      <c r="S74" s="58">
        <f>CV74</f>
        <v>-3168154</v>
      </c>
      <c r="T74" s="56">
        <f>CZ74</f>
        <v>-3674654</v>
      </c>
      <c r="U74" s="55">
        <f>DD74</f>
        <v>-3914155.0236961599</v>
      </c>
      <c r="V74" s="55">
        <f>DH74</f>
        <v>-3886503.3029057304</v>
      </c>
      <c r="W74" s="55">
        <f>DL74</f>
        <v>-4281045.163812845</v>
      </c>
      <c r="X74" s="55">
        <f>DP74</f>
        <v>-4937318.9812430842</v>
      </c>
      <c r="Y74" s="55">
        <f>DT74</f>
        <v>-5664632.6787155271</v>
      </c>
      <c r="Z74" s="55">
        <f>DX74</f>
        <v>-6388741.412961673</v>
      </c>
      <c r="AB74" s="169" t="s">
        <v>167</v>
      </c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>
        <f t="shared" ref="BY74:CB74" si="311">BX80</f>
        <v>0</v>
      </c>
      <c r="BZ74" s="56">
        <f t="shared" si="311"/>
        <v>-759484.33853481011</v>
      </c>
      <c r="CA74" s="56">
        <f t="shared" si="311"/>
        <v>-851983.7666928001</v>
      </c>
      <c r="CB74" s="56">
        <f t="shared" si="311"/>
        <v>-917381.94118871994</v>
      </c>
      <c r="CC74" s="56">
        <f t="shared" ref="CC74:CZ74" si="312">+CB80</f>
        <v>-1024085.4427472</v>
      </c>
      <c r="CD74" s="56">
        <f t="shared" si="312"/>
        <v>-1083006.0702557401</v>
      </c>
      <c r="CE74" s="56">
        <f t="shared" si="312"/>
        <v>-1093881.5999254799</v>
      </c>
      <c r="CF74" s="56">
        <f t="shared" si="312"/>
        <v>-1147508.27238363</v>
      </c>
      <c r="CG74" s="56">
        <f t="shared" si="312"/>
        <v>-1167710.5730707999</v>
      </c>
      <c r="CH74" s="56">
        <f t="shared" si="312"/>
        <v>-1217521.1114931598</v>
      </c>
      <c r="CI74" s="56">
        <f t="shared" si="312"/>
        <v>-1293239.5348191601</v>
      </c>
      <c r="CJ74" s="56">
        <f t="shared" si="312"/>
        <v>-1339809.7944088001</v>
      </c>
      <c r="CK74" s="56">
        <f t="shared" si="312"/>
        <v>-1401132.9232087201</v>
      </c>
      <c r="CL74" s="56">
        <f t="shared" si="312"/>
        <v>-1504343.4343602001</v>
      </c>
      <c r="CM74" s="56">
        <f t="shared" si="312"/>
        <v>-1672362.8494049597</v>
      </c>
      <c r="CN74" s="56">
        <f t="shared" si="312"/>
        <v>-1742172.2409302404</v>
      </c>
      <c r="CO74" s="56">
        <f t="shared" si="312"/>
        <v>-1782505.1943420002</v>
      </c>
      <c r="CP74" s="56">
        <f t="shared" si="312"/>
        <v>-1912183.2125431797</v>
      </c>
      <c r="CQ74" s="56">
        <f t="shared" si="312"/>
        <v>-2095545.8473479401</v>
      </c>
      <c r="CR74" s="56">
        <f t="shared" si="312"/>
        <v>-2210745.4455673601</v>
      </c>
      <c r="CS74" s="56">
        <f t="shared" si="312"/>
        <v>-2263648.5837341999</v>
      </c>
      <c r="CT74" s="56">
        <f t="shared" si="312"/>
        <v>-2946798</v>
      </c>
      <c r="CU74" s="56">
        <f t="shared" si="312"/>
        <v>-3072244</v>
      </c>
      <c r="CV74" s="56">
        <f t="shared" si="312"/>
        <v>-3168154</v>
      </c>
      <c r="CW74" s="56">
        <f t="shared" si="312"/>
        <v>-3308220</v>
      </c>
      <c r="CX74" s="56">
        <f t="shared" si="312"/>
        <v>-3466341</v>
      </c>
      <c r="CY74" s="56">
        <f t="shared" si="312"/>
        <v>-3622632</v>
      </c>
      <c r="CZ74" s="56">
        <f t="shared" si="312"/>
        <v>-3674654</v>
      </c>
      <c r="DA74" s="55">
        <f t="shared" ref="DA74" si="313">+CZ80</f>
        <v>-3840337</v>
      </c>
      <c r="DB74" s="55">
        <f t="shared" ref="DB74" si="314">+DA80</f>
        <v>-3876658.1487026955</v>
      </c>
      <c r="DC74" s="55">
        <f t="shared" ref="DC74" si="315">+DB80</f>
        <v>-3906151.9895430068</v>
      </c>
      <c r="DD74" s="55">
        <f t="shared" ref="DD74" si="316">+DC80</f>
        <v>-3914155.0236961599</v>
      </c>
      <c r="DE74" s="55">
        <f t="shared" ref="DE74" si="317">+DD80</f>
        <v>-3911186.1487936247</v>
      </c>
      <c r="DF74" s="55">
        <f t="shared" ref="DF74" si="318">+DE80</f>
        <v>-3895971.2409434412</v>
      </c>
      <c r="DG74" s="55">
        <f t="shared" ref="DG74" si="319">+DF80</f>
        <v>-3880156.5298614008</v>
      </c>
      <c r="DH74" s="55">
        <f t="shared" ref="DH74" si="320">+DG80</f>
        <v>-3886503.3029057304</v>
      </c>
      <c r="DI74" s="55">
        <f t="shared" ref="DI74" si="321">+DH80</f>
        <v>-3945301.3278078297</v>
      </c>
      <c r="DJ74" s="55">
        <f t="shared" ref="DJ74" si="322">+DI80</f>
        <v>-4031921.3617320256</v>
      </c>
      <c r="DK74" s="55">
        <f t="shared" ref="DK74" si="323">+DJ80</f>
        <v>-4148133.3555053095</v>
      </c>
      <c r="DL74" s="55">
        <f t="shared" ref="DL74" si="324">+DK80</f>
        <v>-4281045.163812845</v>
      </c>
      <c r="DM74" s="55">
        <f t="shared" ref="DM74" si="325">+DL80</f>
        <v>-4434381.3089985512</v>
      </c>
      <c r="DN74" s="55">
        <f t="shared" ref="DN74" si="326">+DM80</f>
        <v>-4584025.0081117516</v>
      </c>
      <c r="DO74" s="55">
        <f t="shared" ref="DO74" si="327">+DN80</f>
        <v>-4753722.1727694888</v>
      </c>
      <c r="DP74" s="55">
        <f t="shared" ref="DP74" si="328">+DO80</f>
        <v>-4937318.9812430842</v>
      </c>
      <c r="DQ74" s="55">
        <f t="shared" ref="DQ74" si="329">+DP80</f>
        <v>-5129596.2744495664</v>
      </c>
      <c r="DR74" s="55">
        <f t="shared" ref="DR74" si="330">+DQ80</f>
        <v>-5309406.5087295324</v>
      </c>
      <c r="DS74" s="55">
        <f t="shared" ref="DS74" si="331">+DR80</f>
        <v>-5488411.9777347483</v>
      </c>
      <c r="DT74" s="55">
        <f t="shared" ref="DT74" si="332">+DS80</f>
        <v>-5664632.6787155271</v>
      </c>
      <c r="DU74" s="55">
        <f t="shared" ref="DU74" si="333">+DT80</f>
        <v>-5851600.6066378569</v>
      </c>
      <c r="DV74" s="55">
        <f t="shared" ref="DV74" si="334">+DU80</f>
        <v>-6020963.0189430853</v>
      </c>
      <c r="DW74" s="55">
        <f t="shared" ref="DW74" si="335">+DV80</f>
        <v>-6197485.1555056013</v>
      </c>
      <c r="DX74" s="55">
        <f t="shared" ref="DX74" si="336">+DW80</f>
        <v>-6388741.412961673</v>
      </c>
    </row>
    <row r="75" spans="1:128" s="31" customFormat="1">
      <c r="A75" s="170" t="s">
        <v>175</v>
      </c>
      <c r="B75" s="56">
        <f>+AF75</f>
        <v>0</v>
      </c>
      <c r="C75" s="56">
        <f>+AJ75</f>
        <v>0</v>
      </c>
      <c r="D75" s="56">
        <f>+AN75</f>
        <v>0</v>
      </c>
      <c r="E75" s="56">
        <f>+AO75</f>
        <v>0</v>
      </c>
      <c r="F75" s="56">
        <f>+AV75</f>
        <v>0</v>
      </c>
      <c r="G75" s="56">
        <f>+AZ75</f>
        <v>0</v>
      </c>
      <c r="H75" s="56">
        <f>SUM(BA75:BD75)</f>
        <v>0</v>
      </c>
      <c r="I75" s="56">
        <f>SUM(BE75:BH75)</f>
        <v>0</v>
      </c>
      <c r="J75" s="56">
        <f>+SUM(BI75:BL75)</f>
        <v>0</v>
      </c>
      <c r="K75" s="56">
        <f>+SUM(BM75:BP75)</f>
        <v>0</v>
      </c>
      <c r="L75" s="56">
        <f>+SUM(BQ75:BT75)</f>
        <v>0</v>
      </c>
      <c r="M75" s="56">
        <f>'Income Statement'!M14</f>
        <v>0</v>
      </c>
      <c r="N75" s="56">
        <f>+SUM(BY75:CB75)</f>
        <v>-488443.58787012991</v>
      </c>
      <c r="O75" s="56">
        <f>+SUM(CC75:CF75)</f>
        <v>-493265.54853222985</v>
      </c>
      <c r="P75" s="56">
        <f>+SUM(CG75:CJ75)</f>
        <v>-590413.79445976007</v>
      </c>
      <c r="Q75" s="58">
        <f>+SUM(CK75:CN75)</f>
        <v>-993994.40157620003</v>
      </c>
      <c r="R75" s="58">
        <f>+SUM(CL75:CR75)</f>
        <v>-2045931.08499444</v>
      </c>
      <c r="S75" s="58">
        <f>+SUM(CS75:CV75)</f>
        <v>-1715808</v>
      </c>
      <c r="T75" s="56">
        <f>+SUM(CW75:CZ75)</f>
        <v>-1880898</v>
      </c>
      <c r="U75" s="55">
        <f>+SUM(DA75:DD75)</f>
        <v>-2127804.7632935774</v>
      </c>
      <c r="V75" s="55">
        <f>+SUM(DE75:DH75)</f>
        <v>-2345298.9204780823</v>
      </c>
      <c r="W75" s="55">
        <f>+SUM(DI75:DL75)</f>
        <v>-2607770.3763920222</v>
      </c>
      <c r="X75" s="55">
        <f>+SUM(DM75:DP75)</f>
        <v>-2869297.8828940373</v>
      </c>
      <c r="Y75" s="55">
        <f>+SUM(DQ75:DT75)</f>
        <v>-3191997.8947992902</v>
      </c>
      <c r="Z75" s="55">
        <f>+SUM(DU75:DX75)</f>
        <v>-3556851.1150407363</v>
      </c>
      <c r="AB75" s="170" t="s">
        <v>175</v>
      </c>
      <c r="AC75" s="56">
        <f>'Income Statement'!AC14</f>
        <v>0</v>
      </c>
      <c r="AD75" s="56">
        <f>'Income Statement'!AD14</f>
        <v>0</v>
      </c>
      <c r="AE75" s="56">
        <f>'Income Statement'!AE14</f>
        <v>0</v>
      </c>
      <c r="AF75" s="56">
        <f>'Income Statement'!AF14</f>
        <v>0</v>
      </c>
      <c r="AG75" s="56">
        <f>'Income Statement'!AG14</f>
        <v>0</v>
      </c>
      <c r="AH75" s="56">
        <f>'Income Statement'!AH14</f>
        <v>0</v>
      </c>
      <c r="AI75" s="56">
        <f>'Income Statement'!AI14</f>
        <v>0</v>
      </c>
      <c r="AJ75" s="56">
        <f>'Income Statement'!AJ14</f>
        <v>0</v>
      </c>
      <c r="AK75" s="56">
        <f>'Income Statement'!AK14</f>
        <v>0</v>
      </c>
      <c r="AL75" s="56">
        <f>'Income Statement'!AL14</f>
        <v>0</v>
      </c>
      <c r="AM75" s="56">
        <f>'Income Statement'!AM14</f>
        <v>0</v>
      </c>
      <c r="AN75" s="56">
        <f>'Income Statement'!AN14</f>
        <v>0</v>
      </c>
      <c r="AO75" s="56">
        <f>'Income Statement'!AO14</f>
        <v>0</v>
      </c>
      <c r="AP75" s="56">
        <f>'Income Statement'!AP14</f>
        <v>0</v>
      </c>
      <c r="AQ75" s="56">
        <f>'Income Statement'!AQ14</f>
        <v>0</v>
      </c>
      <c r="AR75" s="56">
        <f>'Income Statement'!AR14</f>
        <v>0</v>
      </c>
      <c r="AS75" s="56">
        <f>'Income Statement'!AS14</f>
        <v>0</v>
      </c>
      <c r="AT75" s="56">
        <f>'Income Statement'!AT14</f>
        <v>0</v>
      </c>
      <c r="AU75" s="56">
        <f>'Income Statement'!AU14</f>
        <v>0</v>
      </c>
      <c r="AV75" s="56">
        <f>'Income Statement'!AV14</f>
        <v>0</v>
      </c>
      <c r="AW75" s="56">
        <f>'Income Statement'!AW14</f>
        <v>0</v>
      </c>
      <c r="AX75" s="56">
        <f>'Income Statement'!AX14</f>
        <v>0</v>
      </c>
      <c r="AY75" s="56">
        <f>'Income Statement'!AY14</f>
        <v>0</v>
      </c>
      <c r="AZ75" s="56">
        <f>'Income Statement'!AZ14</f>
        <v>0</v>
      </c>
      <c r="BA75" s="56">
        <f>'Income Statement'!BA14</f>
        <v>0</v>
      </c>
      <c r="BB75" s="56">
        <f>'Income Statement'!BB14</f>
        <v>0</v>
      </c>
      <c r="BC75" s="56">
        <f>'Income Statement'!BC14</f>
        <v>0</v>
      </c>
      <c r="BD75" s="56">
        <f>'Income Statement'!BD14</f>
        <v>0</v>
      </c>
      <c r="BE75" s="56">
        <f>'Income Statement'!BE14</f>
        <v>0</v>
      </c>
      <c r="BF75" s="56">
        <f>'Income Statement'!BF14</f>
        <v>0</v>
      </c>
      <c r="BG75" s="56">
        <f>'Income Statement'!BG14</f>
        <v>0</v>
      </c>
      <c r="BH75" s="56">
        <f>'Income Statement'!BH14</f>
        <v>0</v>
      </c>
      <c r="BI75" s="56">
        <f>'Income Statement'!BI14</f>
        <v>0</v>
      </c>
      <c r="BJ75" s="56">
        <f>'Income Statement'!BJ14</f>
        <v>0</v>
      </c>
      <c r="BK75" s="56">
        <f>'Income Statement'!BK14</f>
        <v>0</v>
      </c>
      <c r="BL75" s="56">
        <f>'Income Statement'!BL14</f>
        <v>0</v>
      </c>
      <c r="BM75" s="56">
        <f>'Income Statement'!BM14</f>
        <v>0</v>
      </c>
      <c r="BN75" s="56">
        <f>'Income Statement'!BN14</f>
        <v>0</v>
      </c>
      <c r="BO75" s="56">
        <f>'Income Statement'!BO14</f>
        <v>0</v>
      </c>
      <c r="BP75" s="56">
        <f>'Income Statement'!BP14</f>
        <v>0</v>
      </c>
      <c r="BQ75" s="56">
        <f>'Income Statement'!BQ14</f>
        <v>0</v>
      </c>
      <c r="BR75" s="56">
        <f>'Income Statement'!BR14</f>
        <v>0</v>
      </c>
      <c r="BS75" s="56">
        <f>'Income Statement'!BS14</f>
        <v>0</v>
      </c>
      <c r="BT75" s="56">
        <f>'Income Statement'!BT14</f>
        <v>0</v>
      </c>
      <c r="BU75" s="56">
        <f>'Income Statement'!BU14</f>
        <v>0</v>
      </c>
      <c r="BV75" s="56">
        <f>'Income Statement'!BV14</f>
        <v>0</v>
      </c>
      <c r="BW75" s="56">
        <f>'Income Statement'!BW14</f>
        <v>0</v>
      </c>
      <c r="BX75" s="56">
        <f>'Income Statement'!BX14</f>
        <v>0</v>
      </c>
      <c r="BY75" s="56">
        <f>'Income Statement'!BY14</f>
        <v>-84560.744513109981</v>
      </c>
      <c r="BZ75" s="56">
        <f>'Income Statement'!BZ14</f>
        <v>-164034.91117445996</v>
      </c>
      <c r="CA75" s="56">
        <f>'Income Statement'!CA14</f>
        <v>-112505.65518864003</v>
      </c>
      <c r="CB75" s="56">
        <f>'Income Statement'!CB14</f>
        <v>-127342.27699391992</v>
      </c>
      <c r="CC75" s="56">
        <f>'Income Statement'!CC14</f>
        <v>-122935.77810531002</v>
      </c>
      <c r="CD75" s="56">
        <f>'Income Statement'!CD14</f>
        <v>-87720.559115300013</v>
      </c>
      <c r="CE75" s="56">
        <f>'Income Statement'!CE14</f>
        <v>-146661.44780797008</v>
      </c>
      <c r="CF75" s="56">
        <f>'Income Statement'!CF14</f>
        <v>-135947.76350364974</v>
      </c>
      <c r="CG75" s="56">
        <f>'Income Statement'!CG14</f>
        <v>-115631.90411984999</v>
      </c>
      <c r="CH75" s="56">
        <f>'Income Statement'!CH14</f>
        <v>-167319.16343073003</v>
      </c>
      <c r="CI75" s="56">
        <f>'Income Statement'!CI14</f>
        <v>-117225.98226632993</v>
      </c>
      <c r="CJ75" s="56">
        <f>'Income Statement'!CJ14</f>
        <v>-190236.74464285013</v>
      </c>
      <c r="CK75" s="56">
        <f>'Income Statement'!CK14</f>
        <v>-186342.08534063</v>
      </c>
      <c r="CL75" s="56">
        <f>'Income Statement'!CL14</f>
        <v>-296033.66412692005</v>
      </c>
      <c r="CM75" s="56">
        <f>'Income Statement'!CM14</f>
        <v>-246459.67143465998</v>
      </c>
      <c r="CN75" s="56">
        <f>'Income Statement'!CN14</f>
        <v>-265158.98067398998</v>
      </c>
      <c r="CO75" s="56">
        <f>'Income Statement'!CO14</f>
        <v>-244985.13385764998</v>
      </c>
      <c r="CP75" s="56">
        <f>'Income Statement'!CP14</f>
        <v>-313032.71908677998</v>
      </c>
      <c r="CQ75" s="56">
        <f>'Income Statement'!CQ14</f>
        <v>-331279.61296272022</v>
      </c>
      <c r="CR75" s="56">
        <f>'Income Statement'!CR14</f>
        <v>-348981.30285171978</v>
      </c>
      <c r="CS75" s="56">
        <f>'Income Statement'!CS14</f>
        <v>-364600</v>
      </c>
      <c r="CT75" s="56">
        <f>'Income Statement'!CT14</f>
        <v>-480731</v>
      </c>
      <c r="CU75" s="56">
        <f>'Income Statement'!CU14</f>
        <v>-433219</v>
      </c>
      <c r="CV75" s="56">
        <f>'Income Statement'!CV14</f>
        <v>-437258</v>
      </c>
      <c r="CW75" s="56">
        <f>'Income Statement'!CW14</f>
        <v>-502136</v>
      </c>
      <c r="CX75" s="56">
        <f>'Income Statement'!CX14</f>
        <v>-431763</v>
      </c>
      <c r="CY75" s="56">
        <f>'Income Statement'!CY14</f>
        <v>-444425</v>
      </c>
      <c r="CZ75" s="56">
        <f>'Income Statement'!CZ14</f>
        <v>-502574</v>
      </c>
      <c r="DA75" s="55">
        <f>-Assumptions!DA23*'Balance Sheet'!DA71/4</f>
        <v>-510949.97870269505</v>
      </c>
      <c r="DB75" s="55">
        <f>-Assumptions!DB23*'Balance Sheet'!DB71/4</f>
        <v>-532472.25932185189</v>
      </c>
      <c r="DC75" s="55">
        <f>-Assumptions!DC23*'Balance Sheet'!DC71/4</f>
        <v>-535777.17342262948</v>
      </c>
      <c r="DD75" s="55">
        <f>-Assumptions!DD23*'Balance Sheet'!DD71/4</f>
        <v>-548605.35184640065</v>
      </c>
      <c r="DE75" s="55">
        <f>-Assumptions!DE23*'Balance Sheet'!DE71/4</f>
        <v>-554482.61499166186</v>
      </c>
      <c r="DF75" s="55">
        <f>-Assumptions!DF23*'Balance Sheet'!DF71/4</f>
        <v>-572168.63707994064</v>
      </c>
      <c r="DG75" s="55">
        <f>-Assumptions!DG23*'Balance Sheet'!DG71/4</f>
        <v>-593352.04203578969</v>
      </c>
      <c r="DH75" s="55">
        <f>-Assumptions!DH23*'Balance Sheet'!DH71/4</f>
        <v>-625295.62637068983</v>
      </c>
      <c r="DI75" s="55">
        <f>-Assumptions!DI23*'Balance Sheet'!DI71/4</f>
        <v>-634848.65952753008</v>
      </c>
      <c r="DJ75" s="55">
        <f>-Assumptions!DJ23*'Balance Sheet'!DJ71/4</f>
        <v>-649536.01421643305</v>
      </c>
      <c r="DK75" s="55">
        <f>-Assumptions!DK23*'Balance Sheet'!DK71/4</f>
        <v>-655298.7195344331</v>
      </c>
      <c r="DL75" s="55">
        <f>-Assumptions!DL23*'Balance Sheet'!DL71/4</f>
        <v>-668086.98311362613</v>
      </c>
      <c r="DM75" s="55">
        <f>-Assumptions!DM23*'Balance Sheet'!DM71/4</f>
        <v>-679739.42145097943</v>
      </c>
      <c r="DN75" s="55">
        <f>-Assumptions!DN23*'Balance Sheet'!DN71/4</f>
        <v>-706210.39837791258</v>
      </c>
      <c r="DO75" s="55">
        <f>-Assumptions!DO23*'Balance Sheet'!DO71/4</f>
        <v>-727448.66479108669</v>
      </c>
      <c r="DP75" s="55">
        <f>-Assumptions!DP23*'Balance Sheet'!DP71/4</f>
        <v>-755899.39827405848</v>
      </c>
      <c r="DQ75" s="55">
        <f>-Assumptions!DQ23*'Balance Sheet'!DQ71/4</f>
        <v>-764375.690181755</v>
      </c>
      <c r="DR75" s="55">
        <f>-Assumptions!DR23*'Balance Sheet'!DR71/4</f>
        <v>-785423.04261311493</v>
      </c>
      <c r="DS75" s="55">
        <f>-Assumptions!DS23*'Balance Sheet'!DS71/4</f>
        <v>-804770.80496325565</v>
      </c>
      <c r="DT75" s="55">
        <f>-Assumptions!DT23*'Balance Sheet'!DT71/4</f>
        <v>-837428.35704116488</v>
      </c>
      <c r="DU75" s="55">
        <f>-Assumptions!DU23*'Balance Sheet'!DU71/4</f>
        <v>-841573.22193123586</v>
      </c>
      <c r="DV75" s="55">
        <f>-Assumptions!DV23*'Balance Sheet'!DV71/4</f>
        <v>-870168.58605870709</v>
      </c>
      <c r="DW75" s="55">
        <f>-Assumptions!DW23*'Balance Sheet'!DW71/4</f>
        <v>-906263.53643260908</v>
      </c>
      <c r="DX75" s="55">
        <f>-Assumptions!DX23*'Balance Sheet'!DX71/4</f>
        <v>-938845.77061818435</v>
      </c>
    </row>
    <row r="76" spans="1:128" s="31" customFormat="1">
      <c r="A76" s="170" t="s">
        <v>174</v>
      </c>
      <c r="B76" s="56"/>
      <c r="C76" s="56"/>
      <c r="D76" s="56"/>
      <c r="E76" s="56"/>
      <c r="F76" s="56"/>
      <c r="G76" s="56"/>
      <c r="H76" s="56">
        <f>SUM(BA76:BD76)</f>
        <v>0</v>
      </c>
      <c r="I76" s="56">
        <f>SUM(BE76:BH76)</f>
        <v>0</v>
      </c>
      <c r="J76" s="56">
        <f>+SUM(BI76:BL76)</f>
        <v>0</v>
      </c>
      <c r="K76" s="56">
        <f>+SUM(BM76:BP76)</f>
        <v>0</v>
      </c>
      <c r="L76" s="56">
        <f>+SUM(BQ76:BT76)</f>
        <v>0</v>
      </c>
      <c r="M76" s="56">
        <f>'Income Statement'!M15</f>
        <v>0</v>
      </c>
      <c r="N76" s="56">
        <f>+SUM(BY76:CB76)</f>
        <v>-62724.63175</v>
      </c>
      <c r="O76" s="56">
        <f>+SUM(CC76:CF76)</f>
        <v>-94185.152000000002</v>
      </c>
      <c r="P76" s="56">
        <f>+SUM(CG76:CJ76)</f>
        <v>-112581.43175</v>
      </c>
      <c r="Q76" s="58">
        <f>+SUM(CK76:CN76)</f>
        <v>-120154.17475000001</v>
      </c>
      <c r="R76" s="58">
        <f>+SUM(CL76:CR76)</f>
        <v>-228201.15495</v>
      </c>
      <c r="S76" s="58">
        <f>+SUM(CS76:CV76)</f>
        <v>-194631</v>
      </c>
      <c r="T76" s="56">
        <f>+SUM(CW76:CZ76)</f>
        <v>-285288</v>
      </c>
      <c r="U76" s="55">
        <f>+SUM(DA76:DD76)</f>
        <v>-249755.50416109338</v>
      </c>
      <c r="V76" s="55">
        <f>+SUM(DE76:DH76)</f>
        <v>-302302.12774877192</v>
      </c>
      <c r="W76" s="55">
        <f>+SUM(DI76:DL76)</f>
        <v>-310879.11796809215</v>
      </c>
      <c r="X76" s="55">
        <f>+SUM(DM76:DP76)</f>
        <v>-346640.22486255196</v>
      </c>
      <c r="Y76" s="55">
        <f>+SUM(DQ76:DT76)</f>
        <v>-399708.50183331536</v>
      </c>
      <c r="Z76" s="55">
        <f>+SUM(DU76:DX76)</f>
        <v>-455974.01707503345</v>
      </c>
      <c r="AB76" s="170" t="s">
        <v>174</v>
      </c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>
        <f>-4846*(Assumptions!BY$15)</f>
        <v>-14949.91</v>
      </c>
      <c r="BZ76" s="56">
        <f>-5687*(Assumptions!BZ$15)</f>
        <v>-16763.85425</v>
      </c>
      <c r="CA76" s="56">
        <f>-5163*(Assumptions!CA$15)</f>
        <v>-14908.1625</v>
      </c>
      <c r="CB76" s="56">
        <f>-5620*(Assumptions!CB$15)</f>
        <v>-16102.704999999998</v>
      </c>
      <c r="CC76" s="56">
        <f>-7062*(Assumptions!CC$15)</f>
        <v>-20013.707999999999</v>
      </c>
      <c r="CD76" s="56">
        <f>-12408*(Assumptions!CD$15)</f>
        <v>-34829.256000000001</v>
      </c>
      <c r="CE76" s="56">
        <f>-6404*(Assumptions!CE$15)</f>
        <v>-17911.988000000001</v>
      </c>
      <c r="CF76" s="56">
        <f>-7640*(Assumptions!CF$15)</f>
        <v>-21430.2</v>
      </c>
      <c r="CG76" s="56">
        <f>-8953*(Assumptions!CG$15)</f>
        <v>-25099.735500000003</v>
      </c>
      <c r="CH76" s="56">
        <f>-9154*(Assumptions!CH$15)</f>
        <v>-25413.7925</v>
      </c>
      <c r="CI76" s="56">
        <f>-11259*(Assumptions!CI$15)</f>
        <v>-31083.284249999997</v>
      </c>
      <c r="CJ76" s="56">
        <f>-11331*(Assumptions!CJ$15)</f>
        <v>-30984.619499999997</v>
      </c>
      <c r="CK76" s="56">
        <f>-10747*(Assumptions!CK$15)</f>
        <v>-28823.453999999998</v>
      </c>
      <c r="CL76" s="56">
        <f>-11650*(Assumptions!CL$15)</f>
        <v>-31096.762499999997</v>
      </c>
      <c r="CM76" s="56">
        <f>-11881*(Assumptions!CM$15)</f>
        <v>-31297.524249999999</v>
      </c>
      <c r="CN76" s="56">
        <f>-11244*(Assumptions!CN$15)</f>
        <v>-28936.434000000001</v>
      </c>
      <c r="CO76" s="56">
        <f>-10732*(Assumptions!CO$15)</f>
        <v>-27581.24</v>
      </c>
      <c r="CP76" s="56">
        <f>-12383*(Assumptions!CP$15)</f>
        <v>-33257.642250000004</v>
      </c>
      <c r="CQ76" s="56">
        <f>-12721*(Assumptions!CQ$15)</f>
        <v>-35375.192849999999</v>
      </c>
      <c r="CR76" s="56">
        <f>-14574*(Assumptions!CR$15)</f>
        <v>-40656.359100000001</v>
      </c>
      <c r="CS76" s="56">
        <v>-40930</v>
      </c>
      <c r="CT76" s="56">
        <v>-43891</v>
      </c>
      <c r="CU76" s="56">
        <v>-53393</v>
      </c>
      <c r="CV76" s="56">
        <v>-56417</v>
      </c>
      <c r="CW76" s="56">
        <v>-122127</v>
      </c>
      <c r="CX76" s="56">
        <v>-61008</v>
      </c>
      <c r="CY76" s="56">
        <v>-52652</v>
      </c>
      <c r="CZ76" s="56">
        <v>-49501</v>
      </c>
      <c r="DA76" s="55">
        <f>Assumptions!DA24*AVERAGE('Balance Sheet'!CW80:CZ80)</f>
        <v>-54764.864999999998</v>
      </c>
      <c r="DB76" s="55">
        <f>Assumptions!DB24*AVERAGE('Balance Sheet'!CX80:DA80)</f>
        <v>-60057.124594810783</v>
      </c>
      <c r="DC76" s="55">
        <f>Assumptions!DC24*AVERAGE('Balance Sheet'!CY80:DB80)</f>
        <v>-65015.654837544236</v>
      </c>
      <c r="DD76" s="55">
        <f>Assumptions!DD24*AVERAGE('Balance Sheet'!CZ80:DC80)</f>
        <v>-69917.859728738375</v>
      </c>
      <c r="DE76" s="55">
        <f>Assumptions!DE24*AVERAGE('Balance Sheet'!DA80:DD80)</f>
        <v>-74138.71872599356</v>
      </c>
      <c r="DF76" s="55">
        <f>Assumptions!DF24*AVERAGE('Balance Sheet'!DB80:DE80)</f>
        <v>-76183.888964509126</v>
      </c>
      <c r="DG76" s="55">
        <f>Assumptions!DG24*AVERAGE('Balance Sheet'!DC80:DF80)</f>
        <v>-76057.161098561293</v>
      </c>
      <c r="DH76" s="55">
        <f>Assumptions!DH24*AVERAGE('Balance Sheet'!DD80:DG80)</f>
        <v>-75922.35895970797</v>
      </c>
      <c r="DI76" s="55">
        <f>Assumptions!DI24*AVERAGE('Balance Sheet'!DE80:DH80)</f>
        <v>-76088.670457402201</v>
      </c>
      <c r="DJ76" s="55">
        <f>Assumptions!DJ24*AVERAGE('Balance Sheet'!DF80:DI80)</f>
        <v>-76751.427296246562</v>
      </c>
      <c r="DK76" s="55">
        <f>Assumptions!DK24*AVERAGE('Balance Sheet'!DG80:DJ80)</f>
        <v>-78057.814321260608</v>
      </c>
      <c r="DL76" s="55">
        <f>Assumptions!DL24*AVERAGE('Balance Sheet'!DH80:DK80)</f>
        <v>-79981.205893182792</v>
      </c>
      <c r="DM76" s="55">
        <f>Assumptions!DM24*AVERAGE('Balance Sheet'!DI80:DL80)</f>
        <v>-82365.470801487565</v>
      </c>
      <c r="DN76" s="55">
        <f>Assumptions!DN24*AVERAGE('Balance Sheet'!DJ80:DM80)</f>
        <v>-85056.976077588726</v>
      </c>
      <c r="DO76" s="55">
        <f>Assumptions!DO24*AVERAGE('Balance Sheet'!DK80:DN80)</f>
        <v>-88009.221561751619</v>
      </c>
      <c r="DP76" s="55">
        <f>Assumptions!DP24*AVERAGE('Balance Sheet'!DL80:DO80)</f>
        <v>-91208.556421724017</v>
      </c>
      <c r="DQ76" s="55">
        <f>Assumptions!DQ24*AVERAGE('Balance Sheet'!DM80:DP80)</f>
        <v>-94597.729378297721</v>
      </c>
      <c r="DR76" s="55">
        <f>Assumptions!DR24*AVERAGE('Balance Sheet'!DN80:DQ80)</f>
        <v>-98133.964193809399</v>
      </c>
      <c r="DS76" s="55">
        <f>Assumptions!DS24*AVERAGE('Balance Sheet'!DO80:DR80)</f>
        <v>-101715.57699301504</v>
      </c>
      <c r="DT76" s="55">
        <f>Assumptions!DT24*AVERAGE('Balance Sheet'!DP80:DS80)</f>
        <v>-105261.23126819321</v>
      </c>
      <c r="DU76" s="55">
        <f>Assumptions!DU24*AVERAGE('Balance Sheet'!DQ80:DT80)</f>
        <v>-108781.00238761112</v>
      </c>
      <c r="DV76" s="55">
        <f>Assumptions!DV24*AVERAGE('Balance Sheet'!DR80:DU80)</f>
        <v>-112249.8403749022</v>
      </c>
      <c r="DW76" s="55">
        <f>Assumptions!DW24*AVERAGE('Balance Sheet'!DS80:DV80)</f>
        <v>-115706.5721165351</v>
      </c>
      <c r="DX76" s="55">
        <f>Assumptions!DX24*AVERAGE('Balance Sheet'!DT80:DW80)</f>
        <v>-119236.60219598505</v>
      </c>
    </row>
    <row r="77" spans="1:128" s="31" customFormat="1">
      <c r="A77" s="169" t="s">
        <v>173</v>
      </c>
      <c r="B77" s="56">
        <f t="shared" ref="B77:X77" si="337">B75+B76</f>
        <v>0</v>
      </c>
      <c r="C77" s="56">
        <f t="shared" si="337"/>
        <v>0</v>
      </c>
      <c r="D77" s="56">
        <f t="shared" si="337"/>
        <v>0</v>
      </c>
      <c r="E77" s="56">
        <f t="shared" si="337"/>
        <v>0</v>
      </c>
      <c r="F77" s="56">
        <f t="shared" si="337"/>
        <v>0</v>
      </c>
      <c r="G77" s="56">
        <f t="shared" si="337"/>
        <v>0</v>
      </c>
      <c r="H77" s="56">
        <f t="shared" si="337"/>
        <v>0</v>
      </c>
      <c r="I77" s="56">
        <f t="shared" si="337"/>
        <v>0</v>
      </c>
      <c r="J77" s="56">
        <f t="shared" si="337"/>
        <v>0</v>
      </c>
      <c r="K77" s="56">
        <f t="shared" si="337"/>
        <v>0</v>
      </c>
      <c r="L77" s="56">
        <f t="shared" si="337"/>
        <v>0</v>
      </c>
      <c r="M77" s="56">
        <f t="shared" si="337"/>
        <v>0</v>
      </c>
      <c r="N77" s="56">
        <f t="shared" si="337"/>
        <v>-551168.21962012991</v>
      </c>
      <c r="O77" s="56">
        <f t="shared" si="337"/>
        <v>-587450.70053222985</v>
      </c>
      <c r="P77" s="56">
        <f t="shared" si="337"/>
        <v>-702995.22620976006</v>
      </c>
      <c r="Q77" s="58">
        <f t="shared" si="337"/>
        <v>-1114148.5763262</v>
      </c>
      <c r="R77" s="58">
        <f t="shared" si="337"/>
        <v>-2274132.2399444398</v>
      </c>
      <c r="S77" s="58">
        <f t="shared" si="337"/>
        <v>-1910439</v>
      </c>
      <c r="T77" s="56">
        <f t="shared" si="337"/>
        <v>-2166186</v>
      </c>
      <c r="U77" s="55">
        <f t="shared" si="337"/>
        <v>-2377560.2674546707</v>
      </c>
      <c r="V77" s="55">
        <f t="shared" si="337"/>
        <v>-2647601.0482268543</v>
      </c>
      <c r="W77" s="55">
        <f t="shared" si="337"/>
        <v>-2918649.4943601144</v>
      </c>
      <c r="X77" s="55">
        <f t="shared" si="337"/>
        <v>-3215938.1077565891</v>
      </c>
      <c r="Y77" s="55">
        <f t="shared" ref="Y77:Z77" si="338">Y75+Y76</f>
        <v>-3591706.3966326057</v>
      </c>
      <c r="Z77" s="55">
        <f t="shared" si="338"/>
        <v>-4012825.1321157697</v>
      </c>
      <c r="AB77" s="169" t="s">
        <v>173</v>
      </c>
      <c r="AC77" s="56">
        <f t="shared" ref="AC77" si="339">AC75+AC76</f>
        <v>0</v>
      </c>
      <c r="AD77" s="56">
        <f t="shared" ref="AD77:BX77" si="340">AD75+AD76</f>
        <v>0</v>
      </c>
      <c r="AE77" s="56">
        <f t="shared" si="340"/>
        <v>0</v>
      </c>
      <c r="AF77" s="56">
        <f t="shared" si="340"/>
        <v>0</v>
      </c>
      <c r="AG77" s="56">
        <f t="shared" si="340"/>
        <v>0</v>
      </c>
      <c r="AH77" s="56">
        <f t="shared" si="340"/>
        <v>0</v>
      </c>
      <c r="AI77" s="56">
        <f t="shared" si="340"/>
        <v>0</v>
      </c>
      <c r="AJ77" s="56">
        <f t="shared" si="340"/>
        <v>0</v>
      </c>
      <c r="AK77" s="56">
        <f t="shared" si="340"/>
        <v>0</v>
      </c>
      <c r="AL77" s="56">
        <f t="shared" si="340"/>
        <v>0</v>
      </c>
      <c r="AM77" s="56">
        <f t="shared" si="340"/>
        <v>0</v>
      </c>
      <c r="AN77" s="56">
        <f t="shared" si="340"/>
        <v>0</v>
      </c>
      <c r="AO77" s="56">
        <f t="shared" si="340"/>
        <v>0</v>
      </c>
      <c r="AP77" s="56">
        <f t="shared" si="340"/>
        <v>0</v>
      </c>
      <c r="AQ77" s="56">
        <f t="shared" si="340"/>
        <v>0</v>
      </c>
      <c r="AR77" s="56">
        <f t="shared" si="340"/>
        <v>0</v>
      </c>
      <c r="AS77" s="56">
        <f t="shared" si="340"/>
        <v>0</v>
      </c>
      <c r="AT77" s="56">
        <f t="shared" si="340"/>
        <v>0</v>
      </c>
      <c r="AU77" s="56">
        <f t="shared" si="340"/>
        <v>0</v>
      </c>
      <c r="AV77" s="56">
        <f t="shared" si="340"/>
        <v>0</v>
      </c>
      <c r="AW77" s="56">
        <f t="shared" si="340"/>
        <v>0</v>
      </c>
      <c r="AX77" s="56">
        <f t="shared" si="340"/>
        <v>0</v>
      </c>
      <c r="AY77" s="56">
        <f t="shared" si="340"/>
        <v>0</v>
      </c>
      <c r="AZ77" s="56">
        <f t="shared" si="340"/>
        <v>0</v>
      </c>
      <c r="BA77" s="56">
        <f t="shared" si="340"/>
        <v>0</v>
      </c>
      <c r="BB77" s="56">
        <f t="shared" si="340"/>
        <v>0</v>
      </c>
      <c r="BC77" s="56">
        <f t="shared" si="340"/>
        <v>0</v>
      </c>
      <c r="BD77" s="56">
        <f t="shared" si="340"/>
        <v>0</v>
      </c>
      <c r="BE77" s="56">
        <f t="shared" si="340"/>
        <v>0</v>
      </c>
      <c r="BF77" s="56">
        <f t="shared" si="340"/>
        <v>0</v>
      </c>
      <c r="BG77" s="56">
        <f t="shared" si="340"/>
        <v>0</v>
      </c>
      <c r="BH77" s="56">
        <f t="shared" si="340"/>
        <v>0</v>
      </c>
      <c r="BI77" s="56">
        <f t="shared" si="340"/>
        <v>0</v>
      </c>
      <c r="BJ77" s="56">
        <f t="shared" si="340"/>
        <v>0</v>
      </c>
      <c r="BK77" s="56">
        <f t="shared" si="340"/>
        <v>0</v>
      </c>
      <c r="BL77" s="56">
        <f t="shared" si="340"/>
        <v>0</v>
      </c>
      <c r="BM77" s="56">
        <f t="shared" si="340"/>
        <v>0</v>
      </c>
      <c r="BN77" s="56">
        <f t="shared" si="340"/>
        <v>0</v>
      </c>
      <c r="BO77" s="56">
        <f t="shared" si="340"/>
        <v>0</v>
      </c>
      <c r="BP77" s="56">
        <f t="shared" si="340"/>
        <v>0</v>
      </c>
      <c r="BQ77" s="56">
        <f t="shared" si="340"/>
        <v>0</v>
      </c>
      <c r="BR77" s="56">
        <f t="shared" si="340"/>
        <v>0</v>
      </c>
      <c r="BS77" s="56">
        <f t="shared" si="340"/>
        <v>0</v>
      </c>
      <c r="BT77" s="56">
        <f t="shared" si="340"/>
        <v>0</v>
      </c>
      <c r="BU77" s="56">
        <f t="shared" si="340"/>
        <v>0</v>
      </c>
      <c r="BV77" s="56">
        <f t="shared" si="340"/>
        <v>0</v>
      </c>
      <c r="BW77" s="56">
        <f t="shared" si="340"/>
        <v>0</v>
      </c>
      <c r="BX77" s="56">
        <f t="shared" si="340"/>
        <v>0</v>
      </c>
      <c r="BY77" s="56">
        <f t="shared" ref="BY77:CN77" si="341">BY75+BY76</f>
        <v>-99510.654513109985</v>
      </c>
      <c r="BZ77" s="56">
        <f t="shared" si="341"/>
        <v>-180798.76542445997</v>
      </c>
      <c r="CA77" s="56">
        <f t="shared" si="341"/>
        <v>-127413.81768864003</v>
      </c>
      <c r="CB77" s="56">
        <f t="shared" si="341"/>
        <v>-143444.98199391991</v>
      </c>
      <c r="CC77" s="56">
        <f t="shared" si="341"/>
        <v>-142949.48610531003</v>
      </c>
      <c r="CD77" s="56">
        <f t="shared" si="341"/>
        <v>-122549.81511530001</v>
      </c>
      <c r="CE77" s="56">
        <f t="shared" si="341"/>
        <v>-164573.43580797009</v>
      </c>
      <c r="CF77" s="56">
        <f t="shared" si="341"/>
        <v>-157377.96350364975</v>
      </c>
      <c r="CG77" s="56">
        <f t="shared" si="341"/>
        <v>-140731.63961985</v>
      </c>
      <c r="CH77" s="56">
        <f t="shared" si="341"/>
        <v>-192732.95593073004</v>
      </c>
      <c r="CI77" s="56">
        <f t="shared" si="341"/>
        <v>-148309.26651632992</v>
      </c>
      <c r="CJ77" s="56">
        <f t="shared" si="341"/>
        <v>-221221.36414285013</v>
      </c>
      <c r="CK77" s="56">
        <f t="shared" si="341"/>
        <v>-215165.53934063</v>
      </c>
      <c r="CL77" s="56">
        <f t="shared" si="341"/>
        <v>-327130.42662692006</v>
      </c>
      <c r="CM77" s="56">
        <f t="shared" si="341"/>
        <v>-277757.19568465999</v>
      </c>
      <c r="CN77" s="56">
        <f t="shared" si="341"/>
        <v>-294095.41467398999</v>
      </c>
      <c r="CO77" s="56">
        <f t="shared" ref="CO77" si="342">CO75+CO76</f>
        <v>-272566.37385764997</v>
      </c>
      <c r="CP77" s="56">
        <f t="shared" ref="CP77:CQ77" si="343">CP75+CP76</f>
        <v>-346290.36133678001</v>
      </c>
      <c r="CQ77" s="56">
        <f t="shared" si="343"/>
        <v>-366654.80581272021</v>
      </c>
      <c r="CR77" s="56">
        <f t="shared" ref="CR77" si="344">CR75+CR76</f>
        <v>-389637.66195171978</v>
      </c>
      <c r="CS77" s="56">
        <f t="shared" ref="CS77:CX77" si="345">CS75+CS76</f>
        <v>-405530</v>
      </c>
      <c r="CT77" s="56">
        <f t="shared" si="345"/>
        <v>-524622</v>
      </c>
      <c r="CU77" s="56">
        <f t="shared" si="345"/>
        <v>-486612</v>
      </c>
      <c r="CV77" s="56">
        <f t="shared" si="345"/>
        <v>-493675</v>
      </c>
      <c r="CW77" s="56">
        <f t="shared" si="345"/>
        <v>-624263</v>
      </c>
      <c r="CX77" s="56">
        <f t="shared" si="345"/>
        <v>-492771</v>
      </c>
      <c r="CY77" s="56">
        <f t="shared" ref="CY77:CZ77" si="346">CY75+CY76</f>
        <v>-497077</v>
      </c>
      <c r="CZ77" s="56">
        <f t="shared" si="346"/>
        <v>-552075</v>
      </c>
      <c r="DA77" s="55">
        <f t="shared" ref="DA77:DP77" si="347">DA75+DA76</f>
        <v>-565714.8437026951</v>
      </c>
      <c r="DB77" s="55">
        <f t="shared" si="347"/>
        <v>-592529.38391666266</v>
      </c>
      <c r="DC77" s="55">
        <f t="shared" si="347"/>
        <v>-600792.82826017367</v>
      </c>
      <c r="DD77" s="55">
        <f t="shared" si="347"/>
        <v>-618523.21157513908</v>
      </c>
      <c r="DE77" s="55">
        <f t="shared" si="347"/>
        <v>-628621.33371765539</v>
      </c>
      <c r="DF77" s="55">
        <f t="shared" si="347"/>
        <v>-648352.52604444977</v>
      </c>
      <c r="DG77" s="55">
        <f t="shared" si="347"/>
        <v>-669409.20313435094</v>
      </c>
      <c r="DH77" s="55">
        <f t="shared" si="347"/>
        <v>-701217.98533039785</v>
      </c>
      <c r="DI77" s="55">
        <f t="shared" si="347"/>
        <v>-710937.32998493232</v>
      </c>
      <c r="DJ77" s="55">
        <f t="shared" si="347"/>
        <v>-726287.44151267956</v>
      </c>
      <c r="DK77" s="55">
        <f t="shared" si="347"/>
        <v>-733356.53385569365</v>
      </c>
      <c r="DL77" s="55">
        <f t="shared" si="347"/>
        <v>-748068.18900680891</v>
      </c>
      <c r="DM77" s="55">
        <f t="shared" si="347"/>
        <v>-762104.89225246699</v>
      </c>
      <c r="DN77" s="55">
        <f t="shared" si="347"/>
        <v>-791267.37445550133</v>
      </c>
      <c r="DO77" s="55">
        <f t="shared" si="347"/>
        <v>-815457.88635283825</v>
      </c>
      <c r="DP77" s="55">
        <f t="shared" si="347"/>
        <v>-847107.95469578251</v>
      </c>
      <c r="DQ77" s="55">
        <f t="shared" ref="DQ77:DT77" si="348">DQ75+DQ76</f>
        <v>-858973.41956005269</v>
      </c>
      <c r="DR77" s="55">
        <f t="shared" si="348"/>
        <v>-883557.00680692436</v>
      </c>
      <c r="DS77" s="55">
        <f t="shared" si="348"/>
        <v>-906486.38195627066</v>
      </c>
      <c r="DT77" s="55">
        <f t="shared" si="348"/>
        <v>-942689.58830935811</v>
      </c>
      <c r="DU77" s="55">
        <f t="shared" ref="DU77:DX77" si="349">DU75+DU76</f>
        <v>-950354.22431884694</v>
      </c>
      <c r="DV77" s="55">
        <f t="shared" si="349"/>
        <v>-982418.42643360933</v>
      </c>
      <c r="DW77" s="55">
        <f t="shared" si="349"/>
        <v>-1021970.1085491441</v>
      </c>
      <c r="DX77" s="55">
        <f t="shared" si="349"/>
        <v>-1058082.3728141694</v>
      </c>
    </row>
    <row r="78" spans="1:128" s="31" customFormat="1">
      <c r="A78" s="169" t="s">
        <v>172</v>
      </c>
      <c r="B78" s="56">
        <f>+SUM(AC78:AF78)</f>
        <v>0</v>
      </c>
      <c r="C78" s="56">
        <f>+SUM(AG78:AJ78)</f>
        <v>0</v>
      </c>
      <c r="D78" s="56">
        <f>+SUM(AK78:AN78)</f>
        <v>0</v>
      </c>
      <c r="E78" s="56">
        <f>+SUM(AO78:AR78)</f>
        <v>0</v>
      </c>
      <c r="F78" s="56">
        <f>+SUM(AS78:AV78)</f>
        <v>0</v>
      </c>
      <c r="G78" s="56">
        <f>+SUM(AW78:AZ78)</f>
        <v>0</v>
      </c>
      <c r="H78" s="56">
        <f>+SUM(BA78:BD78)</f>
        <v>0</v>
      </c>
      <c r="I78" s="56">
        <f>+SUM(BE78:BH78)</f>
        <v>0</v>
      </c>
      <c r="J78" s="56">
        <f>+SUM(BI78:BL78)</f>
        <v>0</v>
      </c>
      <c r="K78" s="56">
        <f>+SUM(BM78:BP78)</f>
        <v>0</v>
      </c>
      <c r="L78" s="56">
        <f>+SUM(BQ78:BT78)</f>
        <v>0</v>
      </c>
      <c r="M78" s="56">
        <f>+SUM(BU78:BX78)</f>
        <v>0</v>
      </c>
      <c r="N78" s="56">
        <f>+SUM(BY78:CB78)</f>
        <v>257706.44824999999</v>
      </c>
      <c r="O78" s="56">
        <f>+SUM(CC78:CF78)</f>
        <v>380637.011</v>
      </c>
      <c r="P78" s="56">
        <f>+SUM(CG78:CJ78)</f>
        <v>399327.66500000004</v>
      </c>
      <c r="Q78" s="58">
        <f>+SUM(CK78:CN78)</f>
        <v>652669.66625000001</v>
      </c>
      <c r="R78" s="58">
        <f>+SUM(CL78:CR78)</f>
        <v>1391620.7294000001</v>
      </c>
      <c r="S78" s="58">
        <f>+SUM(CS78:CV78)</f>
        <v>1395793</v>
      </c>
      <c r="T78" s="56">
        <f>+SUM(CW78:CZ78)</f>
        <v>1614395</v>
      </c>
      <c r="U78" s="55">
        <f>+SUM(DA78:DD78)</f>
        <v>2306711.1186610465</v>
      </c>
      <c r="V78" s="55">
        <f>+SUM(DE78:DH78)</f>
        <v>2613485.8692126488</v>
      </c>
      <c r="W78" s="55">
        <f>+SUM(DI78:DL78)</f>
        <v>2429569.5131693929</v>
      </c>
      <c r="X78" s="55">
        <f>+SUM(DM78:DP78)</f>
        <v>2520723.1423055734</v>
      </c>
      <c r="Y78" s="55">
        <f>+SUM(DQ78:DT78)</f>
        <v>2869702.0644443156</v>
      </c>
      <c r="Z78" s="55">
        <f>+SUM(DU78:DX78)</f>
        <v>3273659.609769471</v>
      </c>
      <c r="AB78" s="169" t="s">
        <v>172</v>
      </c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>
        <f>13293*(Assumptions!BY$15)</f>
        <v>41008.904999999999</v>
      </c>
      <c r="BZ78" s="56">
        <f>22461*(Assumptions!BZ$15)</f>
        <v>66209.412750000003</v>
      </c>
      <c r="CA78" s="56">
        <f>20709*(Assumptions!CA$15)</f>
        <v>59797.237500000003</v>
      </c>
      <c r="CB78" s="56">
        <f>31652*(Assumptions!CB$15)</f>
        <v>90690.892999999982</v>
      </c>
      <c r="CC78" s="56">
        <f>25478*(Assumptions!CC$15)</f>
        <v>72204.651999999987</v>
      </c>
      <c r="CD78" s="56">
        <f>35296*(Assumptions!CD$15)</f>
        <v>99075.872000000003</v>
      </c>
      <c r="CE78" s="56">
        <f>35801*(Assumptions!CE$15)</f>
        <v>100135.39700000001</v>
      </c>
      <c r="CF78" s="56">
        <f>38938*(Assumptions!CF$15)</f>
        <v>109221.09000000001</v>
      </c>
      <c r="CG78" s="56">
        <f>23216*(Assumptions!CG$15)</f>
        <v>65086.056000000004</v>
      </c>
      <c r="CH78" s="56">
        <f>34543*(Assumptions!CH$15)</f>
        <v>95900.003750000003</v>
      </c>
      <c r="CI78" s="56">
        <f>36871*(Assumptions!CI$15)</f>
        <v>101791.61324999999</v>
      </c>
      <c r="CJ78" s="56">
        <f>49936*(Assumptions!CJ$15)</f>
        <v>136549.992</v>
      </c>
      <c r="CK78" s="56">
        <f>35108*(Assumptions!CK$15)</f>
        <v>94159.656000000003</v>
      </c>
      <c r="CL78" s="56">
        <f>56781*(Assumptions!CL$15)</f>
        <v>151562.68424999999</v>
      </c>
      <c r="CM78" s="56">
        <f>68284*(Assumptions!CM$15)</f>
        <v>179877.12699999998</v>
      </c>
      <c r="CN78" s="56">
        <f>88234*(Assumptions!CN$15)</f>
        <v>227070.19900000002</v>
      </c>
      <c r="CO78" s="56">
        <f>59310*(Assumptions!CO$15)</f>
        <v>152426.70000000001</v>
      </c>
      <c r="CP78" s="56">
        <f>72923*(Assumptions!CP$15)</f>
        <v>195852.94725</v>
      </c>
      <c r="CQ78" s="56">
        <f>84203*(Assumptions!CQ$15)</f>
        <v>234155.91255000001</v>
      </c>
      <c r="CR78" s="56">
        <f>89859*(Assumptions!CR$15)</f>
        <v>250675.15935</v>
      </c>
      <c r="CS78" s="56">
        <v>269330</v>
      </c>
      <c r="CT78" s="56">
        <v>292738</v>
      </c>
      <c r="CU78" s="56">
        <v>420715</v>
      </c>
      <c r="CV78" s="56">
        <v>413010</v>
      </c>
      <c r="CW78" s="56">
        <v>371580</v>
      </c>
      <c r="CX78" s="56">
        <v>353690</v>
      </c>
      <c r="CY78" s="56">
        <v>442768</v>
      </c>
      <c r="CZ78" s="56">
        <v>446357</v>
      </c>
      <c r="DA78" s="55">
        <f>-Assumptions!DA61*AVERAGE(CW80:CZ80)</f>
        <v>529393.69499999995</v>
      </c>
      <c r="DB78" s="55">
        <f>-Assumptions!DB61*AVERAGE(CX80:DA80)</f>
        <v>563035.54307635105</v>
      </c>
      <c r="DC78" s="55">
        <f>-Assumptions!DC61*AVERAGE(CY80:DB80)</f>
        <v>592789.79410702095</v>
      </c>
      <c r="DD78" s="55">
        <f>-Assumptions!DD61*AVERAGE(CZ80:DC80)</f>
        <v>621492.08647767443</v>
      </c>
      <c r="DE78" s="55">
        <f>-Assumptions!DE61*AVERAGE(DA80:DD80)</f>
        <v>643836.24156783882</v>
      </c>
      <c r="DF78" s="55">
        <f>-Assumptions!DF61*AVERAGE(DB80:DE80)</f>
        <v>664167.23712648987</v>
      </c>
      <c r="DG78" s="55">
        <f>-Assumptions!DG61*AVERAGE(DC80:DF80)</f>
        <v>663062.43009002169</v>
      </c>
      <c r="DH78" s="55">
        <f>-Assumptions!DH61*AVERAGE(DD80:DG80)</f>
        <v>642419.96042829822</v>
      </c>
      <c r="DI78" s="55">
        <f>-Assumptions!DI61*AVERAGE(DE80:DH80)</f>
        <v>624317.29606073606</v>
      </c>
      <c r="DJ78" s="55">
        <f>-Assumptions!DJ61*AVERAGE(DF80:DI80)</f>
        <v>610075.44773939566</v>
      </c>
      <c r="DK78" s="55">
        <f>-Assumptions!DK61*AVERAGE(DG80:DJ80)</f>
        <v>600444.72554815852</v>
      </c>
      <c r="DL78" s="55">
        <f>-Assumptions!DL61*AVERAGE(DH80:DK80)</f>
        <v>594732.04382110282</v>
      </c>
      <c r="DM78" s="55">
        <f>-Assumptions!DM61*AVERAGE(DI80:DL80)</f>
        <v>612461.19313926646</v>
      </c>
      <c r="DN78" s="55">
        <f>-Assumptions!DN61*AVERAGE(DJ80:DM80)</f>
        <v>621570.20979776373</v>
      </c>
      <c r="DO78" s="55">
        <f>-Assumptions!DO61*AVERAGE(DK80:DN80)</f>
        <v>631861.07787924248</v>
      </c>
      <c r="DP78" s="55">
        <f>-Assumptions!DP61*AVERAGE(DL80:DO80)</f>
        <v>654830.66148930066</v>
      </c>
      <c r="DQ78" s="55">
        <f>-Assumptions!DQ61*AVERAGE(DM80:DP80)</f>
        <v>679163.18528008636</v>
      </c>
      <c r="DR78" s="55">
        <f>-Assumptions!DR61*AVERAGE(DN80:DQ80)</f>
        <v>704551.53780170856</v>
      </c>
      <c r="DS78" s="55">
        <f>-Assumptions!DS61*AVERAGE(DO80:DR80)</f>
        <v>730265.68097549258</v>
      </c>
      <c r="DT78" s="55">
        <f>-Assumptions!DT61*AVERAGE(DP80:DS80)</f>
        <v>755721.66038702824</v>
      </c>
      <c r="DU78" s="55">
        <f>-Assumptions!DU61*AVERAGE(DQ80:DT80)</f>
        <v>780991.81201361842</v>
      </c>
      <c r="DV78" s="55">
        <f>-Assumptions!DV61*AVERAGE(DR80:DU80)</f>
        <v>805896.28987109277</v>
      </c>
      <c r="DW78" s="55">
        <f>-Assumptions!DW61*AVERAGE(DS80:DV80)</f>
        <v>830713.85109307256</v>
      </c>
      <c r="DX78" s="55">
        <f>-Assumptions!DX61*AVERAGE(DT80:DW80)</f>
        <v>856057.65679168759</v>
      </c>
    </row>
    <row r="79" spans="1:128" s="31" customFormat="1">
      <c r="A79" s="169" t="s">
        <v>45</v>
      </c>
      <c r="B79" s="56"/>
      <c r="C79" s="56"/>
      <c r="D79" s="56"/>
      <c r="E79" s="56"/>
      <c r="F79" s="56"/>
      <c r="G79" s="56"/>
      <c r="H79" s="56">
        <f>+SUM(BA79:BD79)</f>
        <v>0</v>
      </c>
      <c r="I79" s="56">
        <f>+SUM(BE79:BH79)</f>
        <v>0</v>
      </c>
      <c r="J79" s="56">
        <f>+SUM(BI79:BL79)</f>
        <v>0</v>
      </c>
      <c r="K79" s="56">
        <f>+SUM(BM79:BP79)</f>
        <v>0</v>
      </c>
      <c r="L79" s="56">
        <f>+SUM(BQ79:BT79)</f>
        <v>0</v>
      </c>
      <c r="M79" s="56">
        <f>+SUM(BU79:BX79)</f>
        <v>0</v>
      </c>
      <c r="N79" s="56">
        <f>+SUM(BY79:CB79)</f>
        <v>-730623.67137707025</v>
      </c>
      <c r="O79" s="56">
        <f>+SUM(CC79:CF79)</f>
        <v>63188.559208629958</v>
      </c>
      <c r="P79" s="56">
        <f>+SUM(CG79:CJ79)</f>
        <v>70245.211071839964</v>
      </c>
      <c r="Q79" s="58">
        <f>+SUM(CK79:CN79)</f>
        <v>80106.638942919919</v>
      </c>
      <c r="R79" s="58">
        <f>+SUM(CL79:CR79)</f>
        <v>123206.36117044021</v>
      </c>
      <c r="S79" s="58">
        <f>+SUM(CS79:CV79)</f>
        <v>-529925.41626580013</v>
      </c>
      <c r="T79" s="56">
        <f>+SUM(CW79:CZ79)</f>
        <v>19674</v>
      </c>
      <c r="U79" s="55">
        <f>+SUM(DA79:DD79)</f>
        <v>0</v>
      </c>
      <c r="V79" s="55">
        <f>+SUM(DE79:DH79)</f>
        <v>0</v>
      </c>
      <c r="W79" s="55">
        <f>+SUM(DI79:DL79)</f>
        <v>0</v>
      </c>
      <c r="X79" s="55">
        <f>+SUM(DM79:DP79)</f>
        <v>0</v>
      </c>
      <c r="Y79" s="55">
        <f>+SUM(DQ79:DT79)</f>
        <v>0</v>
      </c>
      <c r="Z79" s="55">
        <f>+SUM(DU79:DX79)</f>
        <v>0</v>
      </c>
      <c r="AB79" s="169" t="s">
        <v>45</v>
      </c>
      <c r="AC79" s="56">
        <f t="shared" ref="AC79" si="350">AC80-AC74-AC77-AC78</f>
        <v>0</v>
      </c>
      <c r="AD79" s="56">
        <f t="shared" ref="AD79:BX79" si="351">AD80-AD74-AD77-AD78</f>
        <v>0</v>
      </c>
      <c r="AE79" s="56">
        <f t="shared" si="351"/>
        <v>0</v>
      </c>
      <c r="AF79" s="56">
        <f t="shared" si="351"/>
        <v>0</v>
      </c>
      <c r="AG79" s="56">
        <f t="shared" si="351"/>
        <v>0</v>
      </c>
      <c r="AH79" s="56">
        <f t="shared" si="351"/>
        <v>0</v>
      </c>
      <c r="AI79" s="56">
        <f t="shared" si="351"/>
        <v>0</v>
      </c>
      <c r="AJ79" s="56">
        <f t="shared" si="351"/>
        <v>0</v>
      </c>
      <c r="AK79" s="56">
        <f t="shared" si="351"/>
        <v>0</v>
      </c>
      <c r="AL79" s="56">
        <f t="shared" si="351"/>
        <v>0</v>
      </c>
      <c r="AM79" s="56">
        <f t="shared" si="351"/>
        <v>0</v>
      </c>
      <c r="AN79" s="56">
        <f t="shared" si="351"/>
        <v>0</v>
      </c>
      <c r="AO79" s="56">
        <f t="shared" si="351"/>
        <v>0</v>
      </c>
      <c r="AP79" s="56">
        <f t="shared" si="351"/>
        <v>0</v>
      </c>
      <c r="AQ79" s="56">
        <f t="shared" si="351"/>
        <v>0</v>
      </c>
      <c r="AR79" s="56">
        <f t="shared" si="351"/>
        <v>0</v>
      </c>
      <c r="AS79" s="56">
        <f t="shared" si="351"/>
        <v>0</v>
      </c>
      <c r="AT79" s="56">
        <f t="shared" si="351"/>
        <v>0</v>
      </c>
      <c r="AU79" s="56">
        <f t="shared" si="351"/>
        <v>0</v>
      </c>
      <c r="AV79" s="56">
        <f t="shared" si="351"/>
        <v>0</v>
      </c>
      <c r="AW79" s="56">
        <f t="shared" si="351"/>
        <v>0</v>
      </c>
      <c r="AX79" s="56">
        <f t="shared" si="351"/>
        <v>0</v>
      </c>
      <c r="AY79" s="56">
        <f t="shared" si="351"/>
        <v>0</v>
      </c>
      <c r="AZ79" s="56">
        <f t="shared" si="351"/>
        <v>0</v>
      </c>
      <c r="BA79" s="56">
        <f t="shared" si="351"/>
        <v>0</v>
      </c>
      <c r="BB79" s="56">
        <f t="shared" si="351"/>
        <v>0</v>
      </c>
      <c r="BC79" s="56">
        <f t="shared" si="351"/>
        <v>0</v>
      </c>
      <c r="BD79" s="56">
        <f t="shared" si="351"/>
        <v>0</v>
      </c>
      <c r="BE79" s="56">
        <f t="shared" si="351"/>
        <v>0</v>
      </c>
      <c r="BF79" s="56">
        <f t="shared" si="351"/>
        <v>0</v>
      </c>
      <c r="BG79" s="56">
        <f t="shared" si="351"/>
        <v>0</v>
      </c>
      <c r="BH79" s="56">
        <f t="shared" si="351"/>
        <v>0</v>
      </c>
      <c r="BI79" s="56">
        <f t="shared" si="351"/>
        <v>0</v>
      </c>
      <c r="BJ79" s="56">
        <f t="shared" si="351"/>
        <v>0</v>
      </c>
      <c r="BK79" s="56">
        <f t="shared" si="351"/>
        <v>0</v>
      </c>
      <c r="BL79" s="56">
        <f t="shared" si="351"/>
        <v>0</v>
      </c>
      <c r="BM79" s="56">
        <f t="shared" si="351"/>
        <v>0</v>
      </c>
      <c r="BN79" s="56">
        <f t="shared" si="351"/>
        <v>0</v>
      </c>
      <c r="BO79" s="56">
        <f t="shared" si="351"/>
        <v>0</v>
      </c>
      <c r="BP79" s="56">
        <f t="shared" si="351"/>
        <v>0</v>
      </c>
      <c r="BQ79" s="56">
        <f t="shared" si="351"/>
        <v>0</v>
      </c>
      <c r="BR79" s="56">
        <f t="shared" si="351"/>
        <v>0</v>
      </c>
      <c r="BS79" s="56">
        <f t="shared" si="351"/>
        <v>0</v>
      </c>
      <c r="BT79" s="56">
        <f t="shared" si="351"/>
        <v>0</v>
      </c>
      <c r="BU79" s="56">
        <f t="shared" si="351"/>
        <v>0</v>
      </c>
      <c r="BV79" s="56">
        <f t="shared" si="351"/>
        <v>0</v>
      </c>
      <c r="BW79" s="56">
        <f t="shared" si="351"/>
        <v>0</v>
      </c>
      <c r="BX79" s="56">
        <f t="shared" si="351"/>
        <v>0</v>
      </c>
      <c r="BY79" s="56">
        <f t="shared" ref="BY79:CN79" si="352">BY80-BY74-BY77-BY78</f>
        <v>-700982.5890217002</v>
      </c>
      <c r="BZ79" s="56">
        <f t="shared" si="352"/>
        <v>22089.924516469982</v>
      </c>
      <c r="CA79" s="56">
        <f t="shared" si="352"/>
        <v>2218.4056927201891</v>
      </c>
      <c r="CB79" s="56">
        <f t="shared" si="352"/>
        <v>-53949.41256456016</v>
      </c>
      <c r="CC79" s="56">
        <f t="shared" si="352"/>
        <v>11824.206596769989</v>
      </c>
      <c r="CD79" s="56">
        <f t="shared" si="352"/>
        <v>12598.413445560233</v>
      </c>
      <c r="CE79" s="56">
        <f t="shared" si="352"/>
        <v>10811.366349819888</v>
      </c>
      <c r="CF79" s="56">
        <f t="shared" si="352"/>
        <v>27954.572816479849</v>
      </c>
      <c r="CG79" s="56">
        <f t="shared" si="352"/>
        <v>25835.045197490144</v>
      </c>
      <c r="CH79" s="56">
        <f t="shared" si="352"/>
        <v>21114.528854729695</v>
      </c>
      <c r="CI79" s="56">
        <f t="shared" si="352"/>
        <v>-52.606323310028529</v>
      </c>
      <c r="CJ79" s="56">
        <f t="shared" si="352"/>
        <v>23348.24334293016</v>
      </c>
      <c r="CK79" s="56">
        <f t="shared" si="352"/>
        <v>17795.372189149974</v>
      </c>
      <c r="CL79" s="56">
        <f t="shared" si="352"/>
        <v>7548.3273321604356</v>
      </c>
      <c r="CM79" s="56">
        <f t="shared" si="352"/>
        <v>28070.677159379353</v>
      </c>
      <c r="CN79" s="56">
        <f t="shared" si="352"/>
        <v>26692.262262230157</v>
      </c>
      <c r="CO79" s="56">
        <f t="shared" ref="CO79:CP79" si="353">CO80-CO74-CO77-CO78</f>
        <v>-9538.3443435296067</v>
      </c>
      <c r="CP79" s="56">
        <f t="shared" si="353"/>
        <v>-32925.220717980323</v>
      </c>
      <c r="CQ79" s="56">
        <f t="shared" ref="CQ79:CT79" si="354">CQ80-CQ74-CQ77-CQ78</f>
        <v>17299.295043300139</v>
      </c>
      <c r="CR79" s="56">
        <f t="shared" si="354"/>
        <v>86059.364434880059</v>
      </c>
      <c r="CS79" s="56">
        <f t="shared" si="354"/>
        <v>-546949.41626580013</v>
      </c>
      <c r="CT79" s="56">
        <f t="shared" si="354"/>
        <v>106438</v>
      </c>
      <c r="CU79" s="56">
        <f t="shared" ref="CU79:CV79" si="355">CU80-CU74-CU77-CU78</f>
        <v>-30013</v>
      </c>
      <c r="CV79" s="56">
        <f t="shared" si="355"/>
        <v>-59401</v>
      </c>
      <c r="CW79" s="56">
        <f t="shared" ref="CW79:CX79" si="356">CW80-CW74-CW77-CW78</f>
        <v>94562</v>
      </c>
      <c r="CX79" s="56">
        <f t="shared" si="356"/>
        <v>-17210</v>
      </c>
      <c r="CY79" s="56">
        <f t="shared" ref="CY79:CZ79" si="357">CY80-CY74-CY77-CY78</f>
        <v>2287</v>
      </c>
      <c r="CZ79" s="56">
        <f t="shared" si="357"/>
        <v>-59965</v>
      </c>
      <c r="DA79" s="55">
        <v>0</v>
      </c>
      <c r="DB79" s="55">
        <v>0</v>
      </c>
      <c r="DC79" s="55">
        <v>0</v>
      </c>
      <c r="DD79" s="55">
        <v>0</v>
      </c>
      <c r="DE79" s="55">
        <v>0</v>
      </c>
      <c r="DF79" s="55">
        <v>0</v>
      </c>
      <c r="DG79" s="55">
        <v>0</v>
      </c>
      <c r="DH79" s="55">
        <v>0</v>
      </c>
      <c r="DI79" s="55">
        <v>0</v>
      </c>
      <c r="DJ79" s="55">
        <v>0</v>
      </c>
      <c r="DK79" s="55">
        <v>0</v>
      </c>
      <c r="DL79" s="55">
        <v>0</v>
      </c>
      <c r="DM79" s="55">
        <v>0</v>
      </c>
      <c r="DN79" s="55">
        <v>0</v>
      </c>
      <c r="DO79" s="55">
        <v>0</v>
      </c>
      <c r="DP79" s="55">
        <v>0</v>
      </c>
      <c r="DQ79" s="55">
        <v>0</v>
      </c>
      <c r="DR79" s="55">
        <v>0</v>
      </c>
      <c r="DS79" s="55">
        <v>0</v>
      </c>
      <c r="DT79" s="55">
        <v>0</v>
      </c>
      <c r="DU79" s="55">
        <v>0</v>
      </c>
      <c r="DV79" s="55">
        <v>0</v>
      </c>
      <c r="DW79" s="55">
        <v>0</v>
      </c>
      <c r="DX79" s="55">
        <v>0</v>
      </c>
    </row>
    <row r="80" spans="1:128" s="31" customFormat="1">
      <c r="A80" s="164" t="s">
        <v>164</v>
      </c>
      <c r="B80" s="46">
        <f>+AF80</f>
        <v>0</v>
      </c>
      <c r="C80" s="46">
        <f>+AJ80</f>
        <v>0</v>
      </c>
      <c r="D80" s="46">
        <f>+AN80</f>
        <v>0</v>
      </c>
      <c r="E80" s="46">
        <f>+AR80</f>
        <v>0</v>
      </c>
      <c r="F80" s="46">
        <f>+AV80</f>
        <v>0</v>
      </c>
      <c r="G80" s="46">
        <f>+AZ80</f>
        <v>0</v>
      </c>
      <c r="H80" s="46">
        <f>+BD80</f>
        <v>0</v>
      </c>
      <c r="I80" s="46">
        <f>+BH80</f>
        <v>0</v>
      </c>
      <c r="J80" s="46">
        <f>+BL80</f>
        <v>0</v>
      </c>
      <c r="K80" s="46">
        <f>+BP80</f>
        <v>0</v>
      </c>
      <c r="L80" s="46">
        <f>+BT80</f>
        <v>0</v>
      </c>
      <c r="M80" s="46">
        <f>M22</f>
        <v>0</v>
      </c>
      <c r="N80" s="46">
        <f>+CB80</f>
        <v>-1024085.4427472</v>
      </c>
      <c r="O80" s="46">
        <f>+CC80</f>
        <v>-1083006.0702557401</v>
      </c>
      <c r="P80" s="46">
        <f>+CJ80</f>
        <v>-1401132.9232087201</v>
      </c>
      <c r="Q80" s="48">
        <f>+CN80</f>
        <v>-1782505.1943420002</v>
      </c>
      <c r="R80" s="48">
        <f>+CR80</f>
        <v>-2263648.5837341999</v>
      </c>
      <c r="S80" s="48">
        <f>+CV80</f>
        <v>-3308220</v>
      </c>
      <c r="T80" s="46">
        <f>+CZ80</f>
        <v>-3840337</v>
      </c>
      <c r="U80" s="45">
        <f>+DD80</f>
        <v>-3911186.1487936247</v>
      </c>
      <c r="V80" s="45">
        <f>+DH80</f>
        <v>-3945301.3278078297</v>
      </c>
      <c r="W80" s="45">
        <f>+DL80</f>
        <v>-4434381.3089985512</v>
      </c>
      <c r="X80" s="45">
        <f>+DP80</f>
        <v>-5129596.2744495664</v>
      </c>
      <c r="Y80" s="45">
        <f>+DT80</f>
        <v>-5851600.6066378569</v>
      </c>
      <c r="Z80" s="45">
        <f>+DX80</f>
        <v>-6590766.1289841542</v>
      </c>
      <c r="AB80" s="164" t="s">
        <v>164</v>
      </c>
      <c r="AC80" s="46">
        <f t="shared" ref="AC80" si="358">AC22</f>
        <v>0</v>
      </c>
      <c r="AD80" s="46">
        <f t="shared" ref="AD80:BX80" si="359">AD22</f>
        <v>0</v>
      </c>
      <c r="AE80" s="46">
        <f t="shared" si="359"/>
        <v>0</v>
      </c>
      <c r="AF80" s="46">
        <f t="shared" si="359"/>
        <v>0</v>
      </c>
      <c r="AG80" s="46">
        <f t="shared" si="359"/>
        <v>0</v>
      </c>
      <c r="AH80" s="46">
        <f t="shared" si="359"/>
        <v>0</v>
      </c>
      <c r="AI80" s="46">
        <f t="shared" si="359"/>
        <v>0</v>
      </c>
      <c r="AJ80" s="46">
        <f t="shared" si="359"/>
        <v>0</v>
      </c>
      <c r="AK80" s="46">
        <f t="shared" si="359"/>
        <v>0</v>
      </c>
      <c r="AL80" s="46">
        <f t="shared" si="359"/>
        <v>0</v>
      </c>
      <c r="AM80" s="46">
        <f t="shared" si="359"/>
        <v>0</v>
      </c>
      <c r="AN80" s="46">
        <f t="shared" si="359"/>
        <v>0</v>
      </c>
      <c r="AO80" s="46">
        <f t="shared" si="359"/>
        <v>0</v>
      </c>
      <c r="AP80" s="46">
        <f t="shared" si="359"/>
        <v>0</v>
      </c>
      <c r="AQ80" s="46">
        <f t="shared" si="359"/>
        <v>0</v>
      </c>
      <c r="AR80" s="46">
        <f t="shared" si="359"/>
        <v>0</v>
      </c>
      <c r="AS80" s="46">
        <f t="shared" si="359"/>
        <v>0</v>
      </c>
      <c r="AT80" s="46">
        <f t="shared" si="359"/>
        <v>0</v>
      </c>
      <c r="AU80" s="46">
        <f t="shared" si="359"/>
        <v>0</v>
      </c>
      <c r="AV80" s="46">
        <f t="shared" si="359"/>
        <v>0</v>
      </c>
      <c r="AW80" s="46">
        <f t="shared" si="359"/>
        <v>0</v>
      </c>
      <c r="AX80" s="46">
        <f t="shared" si="359"/>
        <v>0</v>
      </c>
      <c r="AY80" s="46">
        <f t="shared" si="359"/>
        <v>0</v>
      </c>
      <c r="AZ80" s="46">
        <f t="shared" si="359"/>
        <v>0</v>
      </c>
      <c r="BA80" s="46">
        <f t="shared" si="359"/>
        <v>0</v>
      </c>
      <c r="BB80" s="46">
        <f t="shared" si="359"/>
        <v>0</v>
      </c>
      <c r="BC80" s="46">
        <f t="shared" si="359"/>
        <v>0</v>
      </c>
      <c r="BD80" s="46">
        <f t="shared" si="359"/>
        <v>0</v>
      </c>
      <c r="BE80" s="46">
        <f t="shared" si="359"/>
        <v>0</v>
      </c>
      <c r="BF80" s="46">
        <f t="shared" si="359"/>
        <v>0</v>
      </c>
      <c r="BG80" s="46">
        <f t="shared" si="359"/>
        <v>0</v>
      </c>
      <c r="BH80" s="46">
        <f t="shared" si="359"/>
        <v>0</v>
      </c>
      <c r="BI80" s="46">
        <f t="shared" si="359"/>
        <v>0</v>
      </c>
      <c r="BJ80" s="46">
        <f t="shared" si="359"/>
        <v>0</v>
      </c>
      <c r="BK80" s="46">
        <f t="shared" si="359"/>
        <v>0</v>
      </c>
      <c r="BL80" s="46">
        <f t="shared" si="359"/>
        <v>0</v>
      </c>
      <c r="BM80" s="46">
        <f t="shared" si="359"/>
        <v>0</v>
      </c>
      <c r="BN80" s="46">
        <f t="shared" si="359"/>
        <v>0</v>
      </c>
      <c r="BO80" s="46">
        <f t="shared" si="359"/>
        <v>0</v>
      </c>
      <c r="BP80" s="46">
        <f t="shared" si="359"/>
        <v>0</v>
      </c>
      <c r="BQ80" s="46">
        <f t="shared" si="359"/>
        <v>0</v>
      </c>
      <c r="BR80" s="46">
        <f t="shared" si="359"/>
        <v>0</v>
      </c>
      <c r="BS80" s="46">
        <f t="shared" si="359"/>
        <v>0</v>
      </c>
      <c r="BT80" s="46">
        <f t="shared" si="359"/>
        <v>0</v>
      </c>
      <c r="BU80" s="46">
        <f t="shared" si="359"/>
        <v>0</v>
      </c>
      <c r="BV80" s="46">
        <f t="shared" si="359"/>
        <v>0</v>
      </c>
      <c r="BW80" s="46">
        <f t="shared" si="359"/>
        <v>0</v>
      </c>
      <c r="BX80" s="46">
        <f t="shared" si="359"/>
        <v>0</v>
      </c>
      <c r="BY80" s="46">
        <f t="shared" ref="BY80:CO80" si="360">BY22</f>
        <v>-759484.33853481011</v>
      </c>
      <c r="BZ80" s="46">
        <f t="shared" si="360"/>
        <v>-851983.7666928001</v>
      </c>
      <c r="CA80" s="46">
        <f t="shared" si="360"/>
        <v>-917381.94118871994</v>
      </c>
      <c r="CB80" s="46">
        <f t="shared" si="360"/>
        <v>-1024085.4427472</v>
      </c>
      <c r="CC80" s="46">
        <f t="shared" si="360"/>
        <v>-1083006.0702557401</v>
      </c>
      <c r="CD80" s="46">
        <f t="shared" si="360"/>
        <v>-1093881.5999254799</v>
      </c>
      <c r="CE80" s="46">
        <f t="shared" si="360"/>
        <v>-1147508.27238363</v>
      </c>
      <c r="CF80" s="46">
        <f t="shared" si="360"/>
        <v>-1167710.5730707999</v>
      </c>
      <c r="CG80" s="46">
        <f t="shared" si="360"/>
        <v>-1217521.1114931598</v>
      </c>
      <c r="CH80" s="46">
        <f t="shared" si="360"/>
        <v>-1293239.5348191601</v>
      </c>
      <c r="CI80" s="46">
        <f t="shared" si="360"/>
        <v>-1339809.7944088001</v>
      </c>
      <c r="CJ80" s="46">
        <f t="shared" si="360"/>
        <v>-1401132.9232087201</v>
      </c>
      <c r="CK80" s="46">
        <f t="shared" si="360"/>
        <v>-1504343.4343602001</v>
      </c>
      <c r="CL80" s="46">
        <f t="shared" si="360"/>
        <v>-1672362.8494049597</v>
      </c>
      <c r="CM80" s="46">
        <f t="shared" si="360"/>
        <v>-1742172.2409302404</v>
      </c>
      <c r="CN80" s="46">
        <f t="shared" si="360"/>
        <v>-1782505.1943420002</v>
      </c>
      <c r="CO80" s="46">
        <f t="shared" si="360"/>
        <v>-1912183.2125431797</v>
      </c>
      <c r="CP80" s="46">
        <f t="shared" ref="CP80:CQ80" si="361">CP22</f>
        <v>-2095545.8473479401</v>
      </c>
      <c r="CQ80" s="46">
        <f t="shared" si="361"/>
        <v>-2210745.4455673601</v>
      </c>
      <c r="CR80" s="46">
        <f t="shared" ref="CR80:CS80" si="362">CR22</f>
        <v>-2263648.5837341999</v>
      </c>
      <c r="CS80" s="46">
        <f t="shared" si="362"/>
        <v>-2946798</v>
      </c>
      <c r="CT80" s="46">
        <f t="shared" ref="CT80:CU80" si="363">CT22</f>
        <v>-3072244</v>
      </c>
      <c r="CU80" s="46">
        <f t="shared" si="363"/>
        <v>-3168154</v>
      </c>
      <c r="CV80" s="46">
        <f t="shared" ref="CV80:CW80" si="364">CV22</f>
        <v>-3308220</v>
      </c>
      <c r="CW80" s="46">
        <f t="shared" si="364"/>
        <v>-3466341</v>
      </c>
      <c r="CX80" s="46">
        <f t="shared" ref="CX80:CY80" si="365">CX22</f>
        <v>-3622632</v>
      </c>
      <c r="CY80" s="46">
        <f t="shared" si="365"/>
        <v>-3674654</v>
      </c>
      <c r="CZ80" s="46">
        <f t="shared" ref="CZ80" si="366">CZ22</f>
        <v>-3840337</v>
      </c>
      <c r="DA80" s="45">
        <f t="shared" ref="DA80:DP80" si="367">+DA74+DA77+DA78</f>
        <v>-3876658.1487026955</v>
      </c>
      <c r="DB80" s="45">
        <f t="shared" si="367"/>
        <v>-3906151.9895430068</v>
      </c>
      <c r="DC80" s="45">
        <f t="shared" si="367"/>
        <v>-3914155.0236961599</v>
      </c>
      <c r="DD80" s="45">
        <f t="shared" si="367"/>
        <v>-3911186.1487936247</v>
      </c>
      <c r="DE80" s="45">
        <f t="shared" si="367"/>
        <v>-3895971.2409434412</v>
      </c>
      <c r="DF80" s="45">
        <f t="shared" si="367"/>
        <v>-3880156.5298614008</v>
      </c>
      <c r="DG80" s="45">
        <f t="shared" si="367"/>
        <v>-3886503.3029057304</v>
      </c>
      <c r="DH80" s="45">
        <f t="shared" si="367"/>
        <v>-3945301.3278078297</v>
      </c>
      <c r="DI80" s="45">
        <f t="shared" si="367"/>
        <v>-4031921.3617320256</v>
      </c>
      <c r="DJ80" s="45">
        <f t="shared" si="367"/>
        <v>-4148133.3555053095</v>
      </c>
      <c r="DK80" s="45">
        <f t="shared" si="367"/>
        <v>-4281045.163812845</v>
      </c>
      <c r="DL80" s="45">
        <f t="shared" si="367"/>
        <v>-4434381.3089985512</v>
      </c>
      <c r="DM80" s="45">
        <f t="shared" si="367"/>
        <v>-4584025.0081117516</v>
      </c>
      <c r="DN80" s="45">
        <f t="shared" si="367"/>
        <v>-4753722.1727694888</v>
      </c>
      <c r="DO80" s="45">
        <f t="shared" si="367"/>
        <v>-4937318.9812430842</v>
      </c>
      <c r="DP80" s="45">
        <f t="shared" si="367"/>
        <v>-5129596.2744495664</v>
      </c>
      <c r="DQ80" s="45">
        <f t="shared" ref="DQ80:DT80" si="368">+DQ74+DQ77+DQ78</f>
        <v>-5309406.5087295324</v>
      </c>
      <c r="DR80" s="45">
        <f t="shared" si="368"/>
        <v>-5488411.9777347483</v>
      </c>
      <c r="DS80" s="45">
        <f t="shared" si="368"/>
        <v>-5664632.6787155271</v>
      </c>
      <c r="DT80" s="45">
        <f t="shared" si="368"/>
        <v>-5851600.6066378569</v>
      </c>
      <c r="DU80" s="45">
        <f t="shared" ref="DU80:DX80" si="369">+DU74+DU77+DU78</f>
        <v>-6020963.0189430853</v>
      </c>
      <c r="DV80" s="45">
        <f t="shared" si="369"/>
        <v>-6197485.1555056013</v>
      </c>
      <c r="DW80" s="45">
        <f t="shared" si="369"/>
        <v>-6388741.412961673</v>
      </c>
      <c r="DX80" s="45">
        <f t="shared" si="369"/>
        <v>-6590766.1289841542</v>
      </c>
    </row>
    <row r="81" spans="1:128" s="31" customFormat="1">
      <c r="A81" s="154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8"/>
      <c r="R81" s="58"/>
      <c r="S81" s="58"/>
      <c r="T81" s="56"/>
      <c r="U81" s="55"/>
      <c r="V81" s="55"/>
      <c r="W81" s="55"/>
      <c r="X81" s="55"/>
      <c r="Y81" s="55"/>
      <c r="Z81" s="55"/>
      <c r="AB81" s="150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</row>
    <row r="82" spans="1:128" s="31" customFormat="1">
      <c r="A82" s="168" t="s">
        <v>168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8"/>
      <c r="R82" s="58"/>
      <c r="S82" s="58"/>
      <c r="T82" s="56"/>
      <c r="U82" s="55"/>
      <c r="V82" s="55"/>
      <c r="W82" s="55"/>
      <c r="X82" s="55"/>
      <c r="Y82" s="55"/>
      <c r="Z82" s="55"/>
      <c r="AB82" s="167" t="s">
        <v>168</v>
      </c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  <c r="CI82" s="56"/>
      <c r="CJ82" s="56"/>
      <c r="CK82" s="56"/>
      <c r="CL82" s="56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</row>
    <row r="83" spans="1:128" s="31" customFormat="1">
      <c r="A83" s="166" t="s">
        <v>167</v>
      </c>
      <c r="B83" s="56">
        <f>+AF83</f>
        <v>0</v>
      </c>
      <c r="C83" s="56">
        <f>+AJ83</f>
        <v>0</v>
      </c>
      <c r="D83" s="56">
        <f t="shared" ref="D83:E85" si="370">+AN83</f>
        <v>0</v>
      </c>
      <c r="E83" s="56">
        <f t="shared" si="370"/>
        <v>0</v>
      </c>
      <c r="F83" s="56">
        <f>+AV83</f>
        <v>0</v>
      </c>
      <c r="G83" s="56">
        <f>+AZ83</f>
        <v>0</v>
      </c>
      <c r="H83" s="56">
        <f>+BD83</f>
        <v>0</v>
      </c>
      <c r="I83" s="56">
        <f>+BH83</f>
        <v>0</v>
      </c>
      <c r="J83" s="56">
        <f>+BL83</f>
        <v>0</v>
      </c>
      <c r="K83" s="56">
        <f>+BP83</f>
        <v>0</v>
      </c>
      <c r="L83" s="56">
        <f>+BT83</f>
        <v>0</v>
      </c>
      <c r="M83" s="56">
        <f>L88</f>
        <v>0</v>
      </c>
      <c r="N83" s="56">
        <f>+CB83</f>
        <v>1191796.5531787225</v>
      </c>
      <c r="O83" s="56">
        <f>+CF83</f>
        <v>1381957.3063921477</v>
      </c>
      <c r="P83" s="56">
        <f>+CJ83</f>
        <v>1540816.1395871907</v>
      </c>
      <c r="Q83" s="58">
        <f>+CN83</f>
        <v>1727239.3009951112</v>
      </c>
      <c r="R83" s="58">
        <f>+CR83</f>
        <v>1234227.9053007888</v>
      </c>
      <c r="S83" s="58">
        <f>+CV83</f>
        <v>1965537</v>
      </c>
      <c r="T83" s="56">
        <f>+CZ83</f>
        <v>2368325</v>
      </c>
      <c r="U83" s="55">
        <f ca="1">+DD83</f>
        <v>4899966.6643413603</v>
      </c>
      <c r="V83" s="55">
        <f ca="1">+DH83</f>
        <v>8051493.484519273</v>
      </c>
      <c r="W83" s="55">
        <f ca="1">+DL83</f>
        <v>11733396.597124502</v>
      </c>
      <c r="X83" s="55">
        <f ca="1">+DP83</f>
        <v>16034622.878984688</v>
      </c>
      <c r="Y83" s="55">
        <f ca="1">+DT83</f>
        <v>20972725.641893446</v>
      </c>
      <c r="Z83" s="55">
        <f ca="1">+DX83</f>
        <v>26728082.085497569</v>
      </c>
      <c r="AB83" s="165" t="s">
        <v>167</v>
      </c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>
        <f t="shared" ref="BY83:CB83" si="371">BX88</f>
        <v>0</v>
      </c>
      <c r="BZ83" s="56">
        <f t="shared" si="371"/>
        <v>375402.74612410989</v>
      </c>
      <c r="CA83" s="56">
        <f t="shared" si="371"/>
        <v>812786.99199464975</v>
      </c>
      <c r="CB83" s="56">
        <f t="shared" si="371"/>
        <v>1191796.5531787225</v>
      </c>
      <c r="CC83" s="56">
        <f t="shared" ref="CC83:CZ83" si="372">+CB88</f>
        <v>1577237.781855545</v>
      </c>
      <c r="CD83" s="56">
        <f t="shared" si="372"/>
        <v>376145.06583647965</v>
      </c>
      <c r="CE83" s="56">
        <f t="shared" si="372"/>
        <v>939077.85814914887</v>
      </c>
      <c r="CF83" s="56">
        <f t="shared" si="372"/>
        <v>1381957.3063921477</v>
      </c>
      <c r="CG83" s="56">
        <f t="shared" si="372"/>
        <v>1769700.906990899</v>
      </c>
      <c r="CH83" s="56">
        <f t="shared" si="372"/>
        <v>576949.97890921973</v>
      </c>
      <c r="CI83" s="56">
        <f t="shared" si="372"/>
        <v>1061675.77870146</v>
      </c>
      <c r="CJ83" s="56">
        <f t="shared" si="372"/>
        <v>1540816.1395871907</v>
      </c>
      <c r="CK83" s="56">
        <f t="shared" si="372"/>
        <v>2079666.8105890788</v>
      </c>
      <c r="CL83" s="56">
        <f t="shared" si="372"/>
        <v>656814.69918617024</v>
      </c>
      <c r="CM83" s="56">
        <f t="shared" si="372"/>
        <v>1122405.5606742313</v>
      </c>
      <c r="CN83" s="56">
        <f t="shared" si="372"/>
        <v>1727239.3009951112</v>
      </c>
      <c r="CO83" s="56">
        <f t="shared" si="372"/>
        <v>2257183.980616855</v>
      </c>
      <c r="CP83" s="56">
        <f t="shared" si="372"/>
        <v>559159.20610849769</v>
      </c>
      <c r="CQ83" s="56">
        <f t="shared" si="372"/>
        <v>720901.51986409083</v>
      </c>
      <c r="CR83" s="56">
        <f t="shared" si="372"/>
        <v>1234227.9053007888</v>
      </c>
      <c r="CS83" s="56">
        <f t="shared" si="372"/>
        <v>1654807.6304278483</v>
      </c>
      <c r="CT83" s="56">
        <f t="shared" si="372"/>
        <v>662125</v>
      </c>
      <c r="CU83" s="56">
        <f t="shared" si="372"/>
        <v>1320946</v>
      </c>
      <c r="CV83" s="56">
        <f t="shared" si="372"/>
        <v>1965537</v>
      </c>
      <c r="CW83" s="56">
        <f t="shared" si="372"/>
        <v>2459451</v>
      </c>
      <c r="CX83" s="56">
        <f t="shared" si="372"/>
        <v>851372</v>
      </c>
      <c r="CY83" s="56">
        <f t="shared" si="372"/>
        <v>1603007</v>
      </c>
      <c r="CZ83" s="56">
        <f t="shared" si="372"/>
        <v>2368325</v>
      </c>
      <c r="DA83" s="55">
        <f t="shared" ref="DA83" si="373">+CZ88</f>
        <v>3089456</v>
      </c>
      <c r="DB83" s="55">
        <f t="shared" ref="DB83" ca="1" si="374">+DA88</f>
        <v>3139895.7802102608</v>
      </c>
      <c r="DC83" s="55">
        <f t="shared" ref="DC83" ca="1" si="375">+DB88</f>
        <v>3991333.9419493107</v>
      </c>
      <c r="DD83" s="55">
        <f t="shared" ref="DD83" ca="1" si="376">+DC88</f>
        <v>4899966.6643413603</v>
      </c>
      <c r="DE83" s="55">
        <f t="shared" ref="DE83" ca="1" si="377">+DD88</f>
        <v>5834767.3672455736</v>
      </c>
      <c r="DF83" s="55">
        <f t="shared" ref="DF83" ca="1" si="378">+DE88</f>
        <v>5958608.9739074698</v>
      </c>
      <c r="DG83" s="55">
        <f t="shared" ref="DG83" ca="1" si="379">+DF88</f>
        <v>6994017.0110552423</v>
      </c>
      <c r="DH83" s="55">
        <f t="shared" ref="DH83" ca="1" si="380">+DG88</f>
        <v>8051493.484519273</v>
      </c>
      <c r="DI83" s="55">
        <f t="shared" ref="DI83" ca="1" si="381">+DH88</f>
        <v>9126978.4178670123</v>
      </c>
      <c r="DJ83" s="55">
        <f t="shared" ref="DJ83" ca="1" si="382">+DI88</f>
        <v>9245194.9498214517</v>
      </c>
      <c r="DK83" s="55">
        <f t="shared" ref="DK83" ca="1" si="383">+DJ88</f>
        <v>10467090.479188249</v>
      </c>
      <c r="DL83" s="55">
        <f t="shared" ref="DL83" ca="1" si="384">+DK88</f>
        <v>11733396.597124502</v>
      </c>
      <c r="DM83" s="55">
        <f t="shared" ref="DM83" ca="1" si="385">+DL88</f>
        <v>13035834.829394052</v>
      </c>
      <c r="DN83" s="55">
        <f t="shared" ref="DN83" ca="1" si="386">+DM88</f>
        <v>13179577.315217862</v>
      </c>
      <c r="DO83" s="55">
        <f t="shared" ref="DO83" ca="1" si="387">+DN88</f>
        <v>14590994.910160255</v>
      </c>
      <c r="DP83" s="55">
        <f t="shared" ref="DP83" ca="1" si="388">+DO88</f>
        <v>16034622.878984688</v>
      </c>
      <c r="DQ83" s="55">
        <f t="shared" ref="DQ83" ca="1" si="389">+DP88</f>
        <v>17494281.001333527</v>
      </c>
      <c r="DR83" s="55">
        <f t="shared" ref="DR83" ca="1" si="390">+DQ88</f>
        <v>17647044.415217988</v>
      </c>
      <c r="DS83" s="55">
        <f t="shared" ref="DS83" ca="1" si="391">+DR88</f>
        <v>19284496.396513183</v>
      </c>
      <c r="DT83" s="55">
        <f t="shared" ref="DT83" ca="1" si="392">+DS88</f>
        <v>20972725.641893446</v>
      </c>
      <c r="DU83" s="55">
        <f t="shared" ref="DU83" ca="1" si="393">+DT88</f>
        <v>22682110.162954748</v>
      </c>
      <c r="DV83" s="55">
        <f t="shared" ref="DV83" ca="1" si="394">+DU88</f>
        <v>22868102.137122907</v>
      </c>
      <c r="DW83" s="55">
        <f t="shared" ref="DW83" ca="1" si="395">+DV88</f>
        <v>24773672.499543767</v>
      </c>
      <c r="DX83" s="55">
        <f t="shared" ref="DX83" ca="1" si="396">+DW88</f>
        <v>26728082.085497569</v>
      </c>
    </row>
    <row r="84" spans="1:128" s="31" customFormat="1">
      <c r="A84" s="154" t="s">
        <v>39</v>
      </c>
      <c r="B84" s="56">
        <f>+AF84</f>
        <v>0</v>
      </c>
      <c r="C84" s="56">
        <f>+AJ84</f>
        <v>0</v>
      </c>
      <c r="D84" s="56">
        <f t="shared" si="370"/>
        <v>0</v>
      </c>
      <c r="E84" s="56">
        <f t="shared" si="370"/>
        <v>0</v>
      </c>
      <c r="F84" s="56">
        <f>+AV84</f>
        <v>0</v>
      </c>
      <c r="G84" s="56">
        <f>+AZ84</f>
        <v>0</v>
      </c>
      <c r="H84" s="56">
        <f>SUM(BA84:BD84)</f>
        <v>0</v>
      </c>
      <c r="I84" s="56">
        <f>SUM(BE84:BH84)</f>
        <v>0</v>
      </c>
      <c r="J84" s="56">
        <f>+SUM(BI84:BL84)</f>
        <v>0</v>
      </c>
      <c r="K84" s="56">
        <f>+SUM(BM84:BP84)</f>
        <v>0</v>
      </c>
      <c r="L84" s="56">
        <f>+SUM(BQ84:BT84)</f>
        <v>0</v>
      </c>
      <c r="M84" s="56">
        <f>'Income Statement'!M23</f>
        <v>0</v>
      </c>
      <c r="N84" s="56">
        <f>+SUM(BY84:CB84)</f>
        <v>1409354.1872319262</v>
      </c>
      <c r="O84" s="56">
        <f>+SUM(CC84:CF84)</f>
        <v>1613777.84138908</v>
      </c>
      <c r="P84" s="56">
        <f>+SUM(CG84:CJ84)</f>
        <v>1972582.6017561983</v>
      </c>
      <c r="Q84" s="58">
        <f>+SUM(CK84:CN84)</f>
        <v>2080041.8703588201</v>
      </c>
      <c r="R84" s="58">
        <f>+SUM(CL84:CR84)</f>
        <v>3112280.9630472371</v>
      </c>
      <c r="S84" s="58">
        <f>+SUM(CS84:CV84)</f>
        <v>2422533.9500000002</v>
      </c>
      <c r="T84" s="56">
        <f>+SUM(CW84:CZ84)</f>
        <v>3071777</v>
      </c>
      <c r="U84" s="55">
        <f ca="1">+SUM(DA84:DD84)</f>
        <v>3518388.1172455736</v>
      </c>
      <c r="V84" s="55">
        <f ca="1">+SUM(DE84:DH84)</f>
        <v>4171808.0799328322</v>
      </c>
      <c r="W84" s="55">
        <f ca="1">+SUM(DI84:DL84)</f>
        <v>4951808.4315102492</v>
      </c>
      <c r="X84" s="55">
        <f ca="1">+SUM(DM84:DP84)</f>
        <v>5696398.2798170354</v>
      </c>
      <c r="Y84" s="55">
        <f ca="1">+SUM(DQ84:DT84)</f>
        <v>6611928.731575476</v>
      </c>
      <c r="Z84" s="55">
        <f ca="1">+SUM(DU84:DX84)</f>
        <v>7682685.0350444056</v>
      </c>
      <c r="AB84" s="150" t="s">
        <v>39</v>
      </c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  <c r="BR84" s="56"/>
      <c r="BS84" s="56"/>
      <c r="BT84" s="56"/>
      <c r="BU84" s="56"/>
      <c r="BV84" s="56"/>
      <c r="BW84" s="56"/>
      <c r="BX84" s="56"/>
      <c r="BY84" s="56">
        <f>'Income Statement'!BY39</f>
        <v>353416.59972929989</v>
      </c>
      <c r="BZ84" s="56">
        <f>'Income Statement'!BZ39</f>
        <v>345480.05214263976</v>
      </c>
      <c r="CA84" s="56">
        <f>'Income Statement'!CA39</f>
        <v>356971.9284490844</v>
      </c>
      <c r="CB84" s="56">
        <f>'Income Statement'!CB39</f>
        <v>353485.60691090219</v>
      </c>
      <c r="CC84" s="56">
        <f>'Income Statement'!CC39</f>
        <v>352814.26710213022</v>
      </c>
      <c r="CD84" s="56">
        <f>'Income Statement'!CD39</f>
        <v>459955.16827229923</v>
      </c>
      <c r="CE84" s="56">
        <f>'Income Statement'!CE39</f>
        <v>437587.93769493036</v>
      </c>
      <c r="CF84" s="56">
        <f>'Income Statement'!CF39</f>
        <v>363420.46831972024</v>
      </c>
      <c r="CG84" s="56">
        <f>'Income Statement'!CG39</f>
        <v>487329.43933029944</v>
      </c>
      <c r="CH84" s="56">
        <f>'Income Statement'!CH39</f>
        <v>482968.91350855917</v>
      </c>
      <c r="CI84" s="56">
        <f>'Income Statement'!CI39</f>
        <v>468254.69580225198</v>
      </c>
      <c r="CJ84" s="56">
        <f>'Income Statement'!CJ39</f>
        <v>534029.55311508779</v>
      </c>
      <c r="CK84" s="56">
        <f>'Income Statement'!CK39</f>
        <v>506469.59884169966</v>
      </c>
      <c r="CL84" s="56">
        <f>'Income Statement'!CL39</f>
        <v>464067.06426657154</v>
      </c>
      <c r="CM84" s="56">
        <f>'Income Statement'!CM39</f>
        <v>594812.78565324959</v>
      </c>
      <c r="CN84" s="56">
        <f>'Income Statement'!CN39</f>
        <v>514692.42159729922</v>
      </c>
      <c r="CO84" s="56">
        <f>'Income Statement'!CO39</f>
        <v>469186.11656836991</v>
      </c>
      <c r="CP84" s="56">
        <f>'Income Statement'!CP39</f>
        <v>146099.63357025021</v>
      </c>
      <c r="CQ84" s="56">
        <f>'Income Statement'!CQ39</f>
        <v>501049.18570676458</v>
      </c>
      <c r="CR84" s="56">
        <f>'Income Statement'!CR39</f>
        <v>422373.75568473234</v>
      </c>
      <c r="CS84" s="56">
        <f>'Income Statement'!CS39</f>
        <v>603104.94999999995</v>
      </c>
      <c r="CT84" s="56">
        <f>'Income Statement'!CT39</f>
        <v>584686</v>
      </c>
      <c r="CU84" s="56">
        <f>'Income Statement'!CU39</f>
        <v>645435</v>
      </c>
      <c r="CV84" s="56">
        <f>'Income Statement'!CV39</f>
        <v>589308</v>
      </c>
      <c r="CW84" s="56">
        <f>'Income Statement'!CW39</f>
        <v>804735</v>
      </c>
      <c r="CX84" s="56">
        <f>'Income Statement'!CX39</f>
        <v>749295</v>
      </c>
      <c r="CY84" s="56">
        <f>'Income Statement'!CY39</f>
        <v>748182</v>
      </c>
      <c r="CZ84" s="56">
        <f>'Income Statement'!CZ39</f>
        <v>769565</v>
      </c>
      <c r="DA84" s="55">
        <f ca="1">'Income Statement'!DA39</f>
        <v>823516.53021026065</v>
      </c>
      <c r="DB84" s="55">
        <f ca="1">'Income Statement'!DB39</f>
        <v>851438.16173904995</v>
      </c>
      <c r="DC84" s="55">
        <f ca="1">'Income Statement'!DC39</f>
        <v>908632.72239204962</v>
      </c>
      <c r="DD84" s="55">
        <f ca="1">'Income Statement'!DD39</f>
        <v>934800.70290421299</v>
      </c>
      <c r="DE84" s="55">
        <f ca="1">'Income Statement'!DE39</f>
        <v>1003438.6359732901</v>
      </c>
      <c r="DF84" s="55">
        <f ca="1">'Income Statement'!DF39</f>
        <v>1035408.0371477728</v>
      </c>
      <c r="DG84" s="55">
        <f ca="1">'Income Statement'!DG39</f>
        <v>1057476.4734640308</v>
      </c>
      <c r="DH84" s="55">
        <f ca="1">'Income Statement'!DH39</f>
        <v>1075484.9333477386</v>
      </c>
      <c r="DI84" s="55">
        <f ca="1">'Income Statement'!DI39</f>
        <v>1161168.5519376479</v>
      </c>
      <c r="DJ84" s="55">
        <f ca="1">'Income Statement'!DJ39</f>
        <v>1221895.5293667978</v>
      </c>
      <c r="DK84" s="55">
        <f ca="1">'Income Statement'!DK39</f>
        <v>1266306.117936254</v>
      </c>
      <c r="DL84" s="55">
        <f ca="1">'Income Statement'!DL39</f>
        <v>1302438.2322695493</v>
      </c>
      <c r="DM84" s="55">
        <f ca="1">'Income Statement'!DM39</f>
        <v>1381694.5937013715</v>
      </c>
      <c r="DN84" s="55">
        <f ca="1">'Income Statement'!DN39</f>
        <v>1411417.5949423928</v>
      </c>
      <c r="DO84" s="55">
        <f ca="1">'Income Statement'!DO39</f>
        <v>1443627.9688244339</v>
      </c>
      <c r="DP84" s="55">
        <f ca="1">'Income Statement'!DP39</f>
        <v>1459658.122348838</v>
      </c>
      <c r="DQ84" s="55">
        <f ca="1">'Income Statement'!DQ39</f>
        <v>1576862.9838387195</v>
      </c>
      <c r="DR84" s="55">
        <f ca="1">'Income Statement'!DR39</f>
        <v>1637451.9812951982</v>
      </c>
      <c r="DS84" s="55">
        <f ca="1">'Income Statement'!DS39</f>
        <v>1688229.2453802591</v>
      </c>
      <c r="DT84" s="55">
        <f ca="1">'Income Statement'!DT39</f>
        <v>1709384.5210612994</v>
      </c>
      <c r="DU84" s="55">
        <f ca="1">'Income Statement'!DU39</f>
        <v>1838974.1570620283</v>
      </c>
      <c r="DV84" s="55">
        <f ca="1">'Income Statement'!DV39</f>
        <v>1905570.3624208688</v>
      </c>
      <c r="DW84" s="55">
        <f ca="1">'Income Statement'!DW39</f>
        <v>1954409.5859537954</v>
      </c>
      <c r="DX84" s="55">
        <f ca="1">'Income Statement'!DX39</f>
        <v>1983730.9296077138</v>
      </c>
    </row>
    <row r="85" spans="1:128" s="31" customFormat="1">
      <c r="A85" s="154" t="s">
        <v>171</v>
      </c>
      <c r="B85" s="56">
        <f>+AF85</f>
        <v>0</v>
      </c>
      <c r="C85" s="56">
        <f>+AJ85</f>
        <v>0</v>
      </c>
      <c r="D85" s="56">
        <f t="shared" si="370"/>
        <v>0</v>
      </c>
      <c r="E85" s="56">
        <f t="shared" si="370"/>
        <v>0</v>
      </c>
      <c r="F85" s="56">
        <f>+AV85</f>
        <v>0</v>
      </c>
      <c r="G85" s="56">
        <f>+AZ85</f>
        <v>0</v>
      </c>
      <c r="H85" s="56">
        <f>+SUM(BA85:BD85)</f>
        <v>0</v>
      </c>
      <c r="I85" s="56">
        <f>+SUM(BE85:BH85)</f>
        <v>0</v>
      </c>
      <c r="J85" s="56">
        <f>+SUM(BI85:BL85)</f>
        <v>0</v>
      </c>
      <c r="K85" s="56">
        <f>+SUM(BM85:BP85)</f>
        <v>0</v>
      </c>
      <c r="L85" s="56">
        <f>+SUM(BQ85:BT85)</f>
        <v>0</v>
      </c>
      <c r="M85" s="56">
        <f>+SUM(BU85:BX85)</f>
        <v>0</v>
      </c>
      <c r="N85" s="56">
        <f ca="1">+SUM(BY85:CB85)</f>
        <v>369090.70353033417</v>
      </c>
      <c r="O85" s="56">
        <f>+SUM(CC85:CF85)</f>
        <v>384267.72799999994</v>
      </c>
      <c r="P85" s="56">
        <f>+SUM(CG85:CJ85)</f>
        <v>436033.962</v>
      </c>
      <c r="Q85" s="58">
        <f>+SUM(CK85:CN85)</f>
        <v>492007.53599999996</v>
      </c>
      <c r="R85" s="58">
        <f>+SUM(CL85:CR85)</f>
        <v>532956.32000000007</v>
      </c>
      <c r="S85" s="58">
        <f ca="1">+SUM(CS85:CV85)</f>
        <v>424861.18119999999</v>
      </c>
      <c r="T85" s="56">
        <f ca="1">+SUM(CW85:CZ85)</f>
        <v>530006.58782400005</v>
      </c>
      <c r="U85" s="55">
        <f ca="1">+SUM(DA85:DD85)</f>
        <v>773076.75</v>
      </c>
      <c r="V85" s="55">
        <f ca="1">+SUM(DE85:DH85)</f>
        <v>879597.02931139339</v>
      </c>
      <c r="W85" s="55">
        <f ca="1">+SUM(DI85:DL85)</f>
        <v>1042952.019983208</v>
      </c>
      <c r="X85" s="55">
        <f ca="1">+SUM(DM85:DP85)</f>
        <v>1237952.1078775623</v>
      </c>
      <c r="Y85" s="55">
        <f ca="1">+SUM(DQ85:DT85)</f>
        <v>1424099.5699542589</v>
      </c>
      <c r="Z85" s="55">
        <f ca="1">+SUM(DU85:DX85)</f>
        <v>1652982.1828938692</v>
      </c>
      <c r="AB85" s="150" t="s">
        <v>171</v>
      </c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56"/>
      <c r="BI85" s="56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>
        <f>'Income Statement'!BY43</f>
        <v>369090.70353033417</v>
      </c>
      <c r="BZ85" s="56">
        <f ca="1">'Income Statement'!BZ43</f>
        <v>0</v>
      </c>
      <c r="CA85" s="56">
        <f ca="1">'Income Statement'!CA43</f>
        <v>0</v>
      </c>
      <c r="CB85" s="56">
        <f ca="1">'Income Statement'!CB43</f>
        <v>0</v>
      </c>
      <c r="CC85" s="56">
        <f>'Income Statement'!CC43</f>
        <v>384267.72799999994</v>
      </c>
      <c r="CD85" s="56">
        <f>'Income Statement'!CD43</f>
        <v>0</v>
      </c>
      <c r="CE85" s="56">
        <f>'Income Statement'!CE43</f>
        <v>0</v>
      </c>
      <c r="CF85" s="56">
        <f>'Income Statement'!CF43</f>
        <v>0</v>
      </c>
      <c r="CG85" s="56">
        <f>'Income Statement'!CG43</f>
        <v>436033.962</v>
      </c>
      <c r="CH85" s="56">
        <f>'Income Statement'!CH43</f>
        <v>0</v>
      </c>
      <c r="CI85" s="56">
        <f>'Income Statement'!CI43</f>
        <v>0</v>
      </c>
      <c r="CJ85" s="56">
        <f>'Income Statement'!CJ43</f>
        <v>0</v>
      </c>
      <c r="CK85" s="56">
        <f>'Income Statement'!CK43</f>
        <v>492007.53599999996</v>
      </c>
      <c r="CL85" s="56">
        <f>'Income Statement'!CL43</f>
        <v>0</v>
      </c>
      <c r="CM85" s="56">
        <f>'Income Statement'!CM43</f>
        <v>0</v>
      </c>
      <c r="CN85" s="56">
        <f>'Income Statement'!CN43</f>
        <v>0</v>
      </c>
      <c r="CO85" s="56">
        <f>'Income Statement'!CO43</f>
        <v>532956.32000000007</v>
      </c>
      <c r="CP85" s="56">
        <f>'Income Statement'!CP43</f>
        <v>0</v>
      </c>
      <c r="CQ85" s="56">
        <f>'Income Statement'!CQ43</f>
        <v>0</v>
      </c>
      <c r="CR85" s="56">
        <f>'Income Statement'!CR43</f>
        <v>0</v>
      </c>
      <c r="CS85" s="56">
        <f>'Income Statement'!CS43</f>
        <v>424861.18119999999</v>
      </c>
      <c r="CT85" s="56">
        <f ca="1">'Income Statement'!CT43</f>
        <v>0</v>
      </c>
      <c r="CU85" s="56">
        <f ca="1">'Income Statement'!CU43</f>
        <v>0</v>
      </c>
      <c r="CV85" s="56">
        <f ca="1">'Income Statement'!CV43</f>
        <v>0</v>
      </c>
      <c r="CW85" s="56">
        <f>'Income Statement'!CW43</f>
        <v>530006.58782400005</v>
      </c>
      <c r="CX85" s="56">
        <f ca="1">'Income Statement'!CX43</f>
        <v>0</v>
      </c>
      <c r="CY85" s="56">
        <f ca="1">'Income Statement'!CY43</f>
        <v>0</v>
      </c>
      <c r="CZ85" s="56">
        <f ca="1">'Income Statement'!CZ43</f>
        <v>0</v>
      </c>
      <c r="DA85" s="55">
        <f ca="1">'Income Statement'!DA43</f>
        <v>773076.75</v>
      </c>
      <c r="DB85" s="55">
        <f ca="1">'Income Statement'!DB43</f>
        <v>0</v>
      </c>
      <c r="DC85" s="55">
        <f ca="1">'Income Statement'!DC43</f>
        <v>0</v>
      </c>
      <c r="DD85" s="55">
        <f ca="1">'Income Statement'!DD43</f>
        <v>0</v>
      </c>
      <c r="DE85" s="55">
        <f ca="1">'Income Statement'!DE43</f>
        <v>879597.02931139339</v>
      </c>
      <c r="DF85" s="55">
        <f ca="1">'Income Statement'!DF43</f>
        <v>0</v>
      </c>
      <c r="DG85" s="55">
        <f ca="1">'Income Statement'!DG43</f>
        <v>0</v>
      </c>
      <c r="DH85" s="55">
        <f ca="1">'Income Statement'!DH43</f>
        <v>0</v>
      </c>
      <c r="DI85" s="55">
        <f ca="1">'Income Statement'!DI43</f>
        <v>1042952.019983208</v>
      </c>
      <c r="DJ85" s="55">
        <f ca="1">'Income Statement'!DJ43</f>
        <v>0</v>
      </c>
      <c r="DK85" s="55">
        <f ca="1">'Income Statement'!DK43</f>
        <v>0</v>
      </c>
      <c r="DL85" s="55">
        <f ca="1">'Income Statement'!DL43</f>
        <v>0</v>
      </c>
      <c r="DM85" s="55">
        <f ca="1">'Income Statement'!DM43</f>
        <v>1237952.1078775623</v>
      </c>
      <c r="DN85" s="55">
        <f ca="1">'Income Statement'!DN43</f>
        <v>0</v>
      </c>
      <c r="DO85" s="55">
        <f ca="1">'Income Statement'!DO43</f>
        <v>0</v>
      </c>
      <c r="DP85" s="55">
        <f ca="1">'Income Statement'!DP43</f>
        <v>0</v>
      </c>
      <c r="DQ85" s="55">
        <f ca="1">'Income Statement'!DQ43</f>
        <v>1424099.5699542589</v>
      </c>
      <c r="DR85" s="55">
        <f ca="1">'Income Statement'!DR43</f>
        <v>0</v>
      </c>
      <c r="DS85" s="55">
        <f ca="1">'Income Statement'!DS43</f>
        <v>0</v>
      </c>
      <c r="DT85" s="55">
        <f ca="1">'Income Statement'!DT43</f>
        <v>0</v>
      </c>
      <c r="DU85" s="55">
        <f ca="1">'Income Statement'!DU43</f>
        <v>1652982.1828938692</v>
      </c>
      <c r="DV85" s="55">
        <f ca="1">'Income Statement'!DV43</f>
        <v>0</v>
      </c>
      <c r="DW85" s="55">
        <f ca="1">'Income Statement'!DW43</f>
        <v>0</v>
      </c>
      <c r="DX85" s="55">
        <f ca="1">'Income Statement'!DX43</f>
        <v>0</v>
      </c>
    </row>
    <row r="86" spans="1:128" s="31" customFormat="1">
      <c r="A86" s="154" t="s">
        <v>170</v>
      </c>
      <c r="B86" s="56"/>
      <c r="C86" s="56"/>
      <c r="D86" s="56"/>
      <c r="E86" s="56"/>
      <c r="F86" s="56"/>
      <c r="G86" s="56"/>
      <c r="H86" s="56">
        <f>+SUM(BA86:BD86)</f>
        <v>0</v>
      </c>
      <c r="I86" s="56">
        <f>+SUM(BE86:BH86)</f>
        <v>0</v>
      </c>
      <c r="J86" s="56">
        <f>+SUM(BI86:BL86)</f>
        <v>0</v>
      </c>
      <c r="K86" s="56">
        <f>+SUM(BM86:BP86)</f>
        <v>0</v>
      </c>
      <c r="L86" s="56">
        <f>+SUM(BQ86:BT86)</f>
        <v>0</v>
      </c>
      <c r="M86" s="56">
        <f>+SUM(BU86:BX86)</f>
        <v>0</v>
      </c>
      <c r="N86" s="56">
        <f>+SUM(BY86:CB86)</f>
        <v>3044596.8601058004</v>
      </c>
      <c r="O86" s="56">
        <f>+SUM(CC86:CF86)</f>
        <v>846144.76653440995</v>
      </c>
      <c r="P86" s="56">
        <f>+SUM(CG86:CJ86)</f>
        <v>942972.19691899093</v>
      </c>
      <c r="Q86" s="58">
        <f>+SUM(CK86:CN86)</f>
        <v>1048016.4759542979</v>
      </c>
      <c r="R86" s="58">
        <f>+SUM(CL86:CR86)</f>
        <v>1997614.7480621599</v>
      </c>
      <c r="S86" s="58">
        <f>+SUM(CS86:CV86)</f>
        <v>1201005.1271625999</v>
      </c>
      <c r="T86" s="56">
        <f>+SUM(CW86:CZ86)</f>
        <v>1906091</v>
      </c>
      <c r="U86" s="55">
        <f>+SUM(DA86:DD86)</f>
        <v>0</v>
      </c>
      <c r="V86" s="55">
        <f>+SUM(DE86:DH86)</f>
        <v>0</v>
      </c>
      <c r="W86" s="55">
        <f>+SUM(DI86:DL86)</f>
        <v>0</v>
      </c>
      <c r="X86" s="55">
        <f>+SUM(DM86:DP86)</f>
        <v>0</v>
      </c>
      <c r="Y86" s="55">
        <f>+SUM(DQ86:DT86)</f>
        <v>0</v>
      </c>
      <c r="Z86" s="55">
        <f>+SUM(DU86:DX86)</f>
        <v>0</v>
      </c>
      <c r="AB86" s="150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56"/>
      <c r="BI86" s="56"/>
      <c r="BJ86" s="56"/>
      <c r="BK86" s="56"/>
      <c r="BL86" s="56"/>
      <c r="BM86" s="56"/>
      <c r="BN86" s="56"/>
      <c r="BO86" s="56"/>
      <c r="BP86" s="56"/>
      <c r="BQ86" s="56"/>
      <c r="BR86" s="56"/>
      <c r="BS86" s="56"/>
      <c r="BT86" s="56"/>
      <c r="BU86" s="56"/>
      <c r="BV86" s="56"/>
      <c r="BW86" s="56"/>
      <c r="BX86" s="56"/>
      <c r="BY86" s="56">
        <f t="shared" ref="BY86:CZ86" si="397">BY55-BX55</f>
        <v>3330093.6590984203</v>
      </c>
      <c r="BZ86" s="56">
        <f t="shared" si="397"/>
        <v>-159077.55220622057</v>
      </c>
      <c r="CA86" s="56">
        <f t="shared" si="397"/>
        <v>-132740.2091257195</v>
      </c>
      <c r="CB86" s="56">
        <f t="shared" si="397"/>
        <v>6320.9623393202201</v>
      </c>
      <c r="CC86" s="56">
        <f t="shared" si="397"/>
        <v>890467.91785248974</v>
      </c>
      <c r="CD86" s="56">
        <f t="shared" si="397"/>
        <v>-20776.477180350106</v>
      </c>
      <c r="CE86" s="56">
        <f t="shared" si="397"/>
        <v>-54018.840668910183</v>
      </c>
      <c r="CF86" s="56">
        <f t="shared" si="397"/>
        <v>30472.166531180497</v>
      </c>
      <c r="CG86" s="56">
        <f t="shared" si="397"/>
        <v>1134644.8167580296</v>
      </c>
      <c r="CH86" s="56">
        <f t="shared" si="397"/>
        <v>-96647.830280939117</v>
      </c>
      <c r="CI86" s="56">
        <f t="shared" si="397"/>
        <v>43030.093384799547</v>
      </c>
      <c r="CJ86" s="56">
        <f t="shared" si="397"/>
        <v>-138054.88294289913</v>
      </c>
      <c r="CK86" s="56">
        <f t="shared" si="397"/>
        <v>1283980.3012160389</v>
      </c>
      <c r="CL86" s="56">
        <f t="shared" si="397"/>
        <v>19763.80945622921</v>
      </c>
      <c r="CM86" s="56">
        <f t="shared" si="397"/>
        <v>-156376.52232669014</v>
      </c>
      <c r="CN86" s="56">
        <f t="shared" si="397"/>
        <v>-99351.11239128001</v>
      </c>
      <c r="CO86" s="56">
        <f t="shared" si="397"/>
        <v>1614848.3895670809</v>
      </c>
      <c r="CP86" s="56">
        <f t="shared" si="397"/>
        <v>554740.26583424117</v>
      </c>
      <c r="CQ86" s="56">
        <f t="shared" si="397"/>
        <v>13122.147587378509</v>
      </c>
      <c r="CR86" s="56">
        <f t="shared" si="397"/>
        <v>50867.770335200243</v>
      </c>
      <c r="CS86" s="56">
        <f t="shared" si="397"/>
        <v>1198884.1271625999</v>
      </c>
      <c r="CT86" s="56">
        <f t="shared" si="397"/>
        <v>-25394</v>
      </c>
      <c r="CU86" s="56">
        <f t="shared" si="397"/>
        <v>14598</v>
      </c>
      <c r="CV86" s="56">
        <f t="shared" si="397"/>
        <v>12917</v>
      </c>
      <c r="CW86" s="56">
        <f t="shared" si="397"/>
        <v>1816991</v>
      </c>
      <c r="CX86" s="56">
        <f t="shared" si="397"/>
        <v>-20341</v>
      </c>
      <c r="CY86" s="56">
        <f t="shared" si="397"/>
        <v>14894</v>
      </c>
      <c r="CZ86" s="56">
        <f t="shared" si="397"/>
        <v>94547</v>
      </c>
      <c r="DA86" s="55">
        <v>0</v>
      </c>
      <c r="DB86" s="55">
        <v>0</v>
      </c>
      <c r="DC86" s="55">
        <v>0</v>
      </c>
      <c r="DD86" s="55">
        <v>0</v>
      </c>
      <c r="DE86" s="55">
        <v>0</v>
      </c>
      <c r="DF86" s="55">
        <v>0</v>
      </c>
      <c r="DG86" s="55">
        <v>0</v>
      </c>
      <c r="DH86" s="55">
        <v>0</v>
      </c>
      <c r="DI86" s="55">
        <v>0</v>
      </c>
      <c r="DJ86" s="55">
        <v>0</v>
      </c>
      <c r="DK86" s="55">
        <v>0</v>
      </c>
      <c r="DL86" s="55">
        <v>0</v>
      </c>
      <c r="DM86" s="55">
        <v>0</v>
      </c>
      <c r="DN86" s="55">
        <v>0</v>
      </c>
      <c r="DO86" s="55">
        <v>0</v>
      </c>
      <c r="DP86" s="55">
        <v>0</v>
      </c>
      <c r="DQ86" s="55">
        <v>0</v>
      </c>
      <c r="DR86" s="55">
        <v>0</v>
      </c>
      <c r="DS86" s="55">
        <v>0</v>
      </c>
      <c r="DT86" s="55">
        <v>0</v>
      </c>
      <c r="DU86" s="55">
        <v>0</v>
      </c>
      <c r="DV86" s="55">
        <v>0</v>
      </c>
      <c r="DW86" s="55">
        <v>0</v>
      </c>
      <c r="DX86" s="55">
        <v>0</v>
      </c>
    </row>
    <row r="87" spans="1:128" s="31" customFormat="1">
      <c r="A87" s="154" t="s">
        <v>45</v>
      </c>
      <c r="B87" s="46"/>
      <c r="C87" s="46"/>
      <c r="D87" s="46"/>
      <c r="E87" s="46"/>
      <c r="F87" s="46"/>
      <c r="G87" s="46"/>
      <c r="H87" s="56">
        <f>+SUM(BA87:BD87)</f>
        <v>0</v>
      </c>
      <c r="I87" s="56">
        <f>+SUM(BE87:BH87)</f>
        <v>0</v>
      </c>
      <c r="J87" s="56">
        <f>+SUM(BI87:BL87)</f>
        <v>0</v>
      </c>
      <c r="K87" s="56">
        <f>+SUM(BM87:BP87)</f>
        <v>0</v>
      </c>
      <c r="L87" s="56">
        <f>+SUM(BQ87:BT87)</f>
        <v>0</v>
      </c>
      <c r="M87" s="56">
        <f>+SUM(BU87:BX87)</f>
        <v>0</v>
      </c>
      <c r="N87" s="56">
        <f ca="1">+SUM(BY87:CB87)</f>
        <v>536974.29815395293</v>
      </c>
      <c r="O87" s="56">
        <f>+SUM(CC87:CF87)</f>
        <v>-1037046.9882537263</v>
      </c>
      <c r="P87" s="56">
        <f>+SUM(CG87:CJ87)</f>
        <v>-1226582.7361580185</v>
      </c>
      <c r="Q87" s="58">
        <f>+SUM(CK87:CN87)</f>
        <v>-1410517.1643310438</v>
      </c>
      <c r="R87" s="58">
        <f>+SUM(CL87:CR87)</f>
        <v>-1581331.7118055592</v>
      </c>
      <c r="S87" s="58">
        <f ca="1">+SUM(CS87:CV87)</f>
        <v>-1193029.3992278483</v>
      </c>
      <c r="T87" s="56">
        <f ca="1">+SUM(CW87:CZ87)</f>
        <v>-1911765.412176</v>
      </c>
      <c r="U87" s="55">
        <f>+SUM(DA87:DD87)</f>
        <v>0</v>
      </c>
      <c r="V87" s="55">
        <f>+SUM(DE87:DH87)</f>
        <v>0</v>
      </c>
      <c r="W87" s="55">
        <f>+SUM(DI87:DL87)</f>
        <v>0</v>
      </c>
      <c r="X87" s="55">
        <f>+SUM(DM87:DP87)</f>
        <v>0</v>
      </c>
      <c r="Y87" s="55">
        <f>+SUM(DQ87:DT87)</f>
        <v>0</v>
      </c>
      <c r="Z87" s="55">
        <f>+SUM(DU87:DX87)</f>
        <v>0</v>
      </c>
      <c r="AB87" s="154" t="s">
        <v>45</v>
      </c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>
        <f t="shared" ref="BY87:CO87" si="398">BY88-BY83-BY84+BY85</f>
        <v>391076.84992514417</v>
      </c>
      <c r="BZ87" s="148">
        <f t="shared" ca="1" si="398"/>
        <v>91904.193727900099</v>
      </c>
      <c r="CA87" s="148">
        <f t="shared" ca="1" si="398"/>
        <v>22037.63273498835</v>
      </c>
      <c r="CB87" s="148">
        <f t="shared" ca="1" si="398"/>
        <v>31955.62176592031</v>
      </c>
      <c r="CC87" s="148">
        <f t="shared" si="398"/>
        <v>-1169639.2551211957</v>
      </c>
      <c r="CD87" s="148">
        <f t="shared" si="398"/>
        <v>102977.62404036999</v>
      </c>
      <c r="CE87" s="148">
        <f t="shared" si="398"/>
        <v>5291.5105480684433</v>
      </c>
      <c r="CF87" s="148">
        <f t="shared" si="398"/>
        <v>24323.132279031095</v>
      </c>
      <c r="CG87" s="148">
        <f t="shared" si="398"/>
        <v>-1244046.4054119785</v>
      </c>
      <c r="CH87" s="148">
        <f t="shared" si="398"/>
        <v>1756.8862836810877</v>
      </c>
      <c r="CI87" s="148">
        <f t="shared" si="398"/>
        <v>10885.665083478729</v>
      </c>
      <c r="CJ87" s="148">
        <f t="shared" si="398"/>
        <v>4821.117886800319</v>
      </c>
      <c r="CK87" s="148">
        <f t="shared" si="398"/>
        <v>-1437314.1742446083</v>
      </c>
      <c r="CL87" s="148">
        <f t="shared" si="398"/>
        <v>1523.7972214894835</v>
      </c>
      <c r="CM87" s="148">
        <f t="shared" si="398"/>
        <v>10020.954667630373</v>
      </c>
      <c r="CN87" s="148">
        <f t="shared" si="398"/>
        <v>15252.258024444513</v>
      </c>
      <c r="CO87" s="148">
        <f t="shared" si="398"/>
        <v>-1634254.5710767272</v>
      </c>
      <c r="CP87" s="148">
        <f t="shared" ref="CP87:CQ87" si="399">CP88-CP83-CP84+CP85</f>
        <v>15642.680185342935</v>
      </c>
      <c r="CQ87" s="148">
        <f t="shared" si="399"/>
        <v>12277.199729933403</v>
      </c>
      <c r="CR87" s="148">
        <f t="shared" ref="CR87:CS87" si="400">CR88-CR83-CR84+CR85</f>
        <v>-1794.0305576728424</v>
      </c>
      <c r="CS87" s="148">
        <f t="shared" si="400"/>
        <v>-1170926.3992278483</v>
      </c>
      <c r="CT87" s="148">
        <f t="shared" ref="CT87:CU87" ca="1" si="401">CT88-CT83-CT84+CT85</f>
        <v>74135</v>
      </c>
      <c r="CU87" s="148">
        <f t="shared" ca="1" si="401"/>
        <v>-844</v>
      </c>
      <c r="CV87" s="148">
        <f t="shared" ref="CV87:CW87" ca="1" si="402">CV88-CV83-CV84+CV85</f>
        <v>-95394</v>
      </c>
      <c r="CW87" s="148">
        <f t="shared" si="402"/>
        <v>-1882807.412176</v>
      </c>
      <c r="CX87" s="148">
        <f t="shared" ref="CX87:CY87" ca="1" si="403">CX88-CX83-CX84+CX85</f>
        <v>2340</v>
      </c>
      <c r="CY87" s="148">
        <f t="shared" ca="1" si="403"/>
        <v>17136</v>
      </c>
      <c r="CZ87" s="148">
        <f t="shared" ref="CZ87" ca="1" si="404">CZ88-CZ83-CZ84+CZ85</f>
        <v>-48434</v>
      </c>
      <c r="DA87" s="55">
        <v>0</v>
      </c>
      <c r="DB87" s="55">
        <v>0</v>
      </c>
      <c r="DC87" s="55">
        <v>0</v>
      </c>
      <c r="DD87" s="55">
        <v>0</v>
      </c>
      <c r="DE87" s="55">
        <v>0</v>
      </c>
      <c r="DF87" s="55">
        <v>0</v>
      </c>
      <c r="DG87" s="55">
        <v>0</v>
      </c>
      <c r="DH87" s="55">
        <v>0</v>
      </c>
      <c r="DI87" s="55">
        <v>0</v>
      </c>
      <c r="DJ87" s="55">
        <v>0</v>
      </c>
      <c r="DK87" s="55">
        <v>0</v>
      </c>
      <c r="DL87" s="55">
        <v>0</v>
      </c>
      <c r="DM87" s="55">
        <v>0</v>
      </c>
      <c r="DN87" s="55">
        <v>0</v>
      </c>
      <c r="DO87" s="55">
        <v>0</v>
      </c>
      <c r="DP87" s="55">
        <v>0</v>
      </c>
      <c r="DQ87" s="55">
        <v>0</v>
      </c>
      <c r="DR87" s="55">
        <v>0</v>
      </c>
      <c r="DS87" s="55">
        <v>0</v>
      </c>
      <c r="DT87" s="55">
        <v>0</v>
      </c>
      <c r="DU87" s="55">
        <v>0</v>
      </c>
      <c r="DV87" s="55">
        <v>0</v>
      </c>
      <c r="DW87" s="55">
        <v>0</v>
      </c>
      <c r="DX87" s="55">
        <v>0</v>
      </c>
    </row>
    <row r="88" spans="1:128" s="31" customFormat="1">
      <c r="A88" s="164" t="s">
        <v>164</v>
      </c>
      <c r="B88" s="46">
        <f>+AF88</f>
        <v>0</v>
      </c>
      <c r="C88" s="46">
        <f>+AJ88</f>
        <v>0</v>
      </c>
      <c r="D88" s="46">
        <f>+AN88</f>
        <v>0</v>
      </c>
      <c r="E88" s="46">
        <f>+AO88</f>
        <v>0</v>
      </c>
      <c r="F88" s="46">
        <f>+AV88</f>
        <v>0</v>
      </c>
      <c r="G88" s="46">
        <f>+AZ88</f>
        <v>0</v>
      </c>
      <c r="H88" s="46">
        <f>+BD88</f>
        <v>0</v>
      </c>
      <c r="I88" s="46">
        <f>+BH88</f>
        <v>0</v>
      </c>
      <c r="J88" s="46">
        <f>+BL88</f>
        <v>0</v>
      </c>
      <c r="K88" s="46">
        <f>+BP88</f>
        <v>0</v>
      </c>
      <c r="L88" s="46">
        <f>L57</f>
        <v>0</v>
      </c>
      <c r="M88" s="46">
        <f>+BX88</f>
        <v>0</v>
      </c>
      <c r="N88" s="46">
        <f>+CB88</f>
        <v>1577237.781855545</v>
      </c>
      <c r="O88" s="46">
        <f>+CF88</f>
        <v>1769700.906990899</v>
      </c>
      <c r="P88" s="46">
        <f>+CJ88</f>
        <v>2079666.8105890788</v>
      </c>
      <c r="Q88" s="48">
        <f>+CN88</f>
        <v>2257183.980616855</v>
      </c>
      <c r="R88" s="48">
        <f>+CR88</f>
        <v>1654807.6304278483</v>
      </c>
      <c r="S88" s="48">
        <f>+CV88</f>
        <v>2459451</v>
      </c>
      <c r="T88" s="46">
        <f>+CZ88</f>
        <v>3089456</v>
      </c>
      <c r="U88" s="45">
        <f ca="1">+DD88</f>
        <v>5834767.3672455736</v>
      </c>
      <c r="V88" s="45">
        <f ca="1">+DH88</f>
        <v>9126978.4178670123</v>
      </c>
      <c r="W88" s="45">
        <f ca="1">+DL88</f>
        <v>13035834.829394052</v>
      </c>
      <c r="X88" s="45">
        <f ca="1">+DP88</f>
        <v>17494281.001333527</v>
      </c>
      <c r="Y88" s="45">
        <f ca="1">+DT88</f>
        <v>22682110.162954748</v>
      </c>
      <c r="Z88" s="45">
        <f ca="1">+DX88</f>
        <v>28711813.015105285</v>
      </c>
      <c r="AB88" s="163" t="s">
        <v>164</v>
      </c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>
        <f t="shared" ref="BY88:CO88" si="405">BY57</f>
        <v>375402.74612410989</v>
      </c>
      <c r="BZ88" s="46">
        <f t="shared" si="405"/>
        <v>812786.99199464975</v>
      </c>
      <c r="CA88" s="46">
        <f t="shared" si="405"/>
        <v>1191796.5531787225</v>
      </c>
      <c r="CB88" s="46">
        <f t="shared" si="405"/>
        <v>1577237.781855545</v>
      </c>
      <c r="CC88" s="46">
        <f t="shared" si="405"/>
        <v>376145.06583647965</v>
      </c>
      <c r="CD88" s="46">
        <f t="shared" si="405"/>
        <v>939077.85814914887</v>
      </c>
      <c r="CE88" s="46">
        <f t="shared" si="405"/>
        <v>1381957.3063921477</v>
      </c>
      <c r="CF88" s="46">
        <f t="shared" si="405"/>
        <v>1769700.906990899</v>
      </c>
      <c r="CG88" s="46">
        <f t="shared" si="405"/>
        <v>576949.97890921973</v>
      </c>
      <c r="CH88" s="46">
        <f t="shared" si="405"/>
        <v>1061675.77870146</v>
      </c>
      <c r="CI88" s="46">
        <f t="shared" si="405"/>
        <v>1540816.1395871907</v>
      </c>
      <c r="CJ88" s="46">
        <f t="shared" si="405"/>
        <v>2079666.8105890788</v>
      </c>
      <c r="CK88" s="46">
        <f t="shared" si="405"/>
        <v>656814.69918617024</v>
      </c>
      <c r="CL88" s="46">
        <f t="shared" si="405"/>
        <v>1122405.5606742313</v>
      </c>
      <c r="CM88" s="46">
        <f t="shared" si="405"/>
        <v>1727239.3009951112</v>
      </c>
      <c r="CN88" s="46">
        <f t="shared" si="405"/>
        <v>2257183.980616855</v>
      </c>
      <c r="CO88" s="46">
        <f t="shared" si="405"/>
        <v>559159.20610849769</v>
      </c>
      <c r="CP88" s="46">
        <f t="shared" ref="CP88:CQ88" si="406">CP57</f>
        <v>720901.51986409083</v>
      </c>
      <c r="CQ88" s="46">
        <f t="shared" si="406"/>
        <v>1234227.9053007888</v>
      </c>
      <c r="CR88" s="46">
        <f t="shared" ref="CR88:CS88" si="407">CR57</f>
        <v>1654807.6304278483</v>
      </c>
      <c r="CS88" s="46">
        <f t="shared" si="407"/>
        <v>662125</v>
      </c>
      <c r="CT88" s="46">
        <f t="shared" ref="CT88:CU88" si="408">CT57</f>
        <v>1320946</v>
      </c>
      <c r="CU88" s="46">
        <f t="shared" si="408"/>
        <v>1965537</v>
      </c>
      <c r="CV88" s="46">
        <f t="shared" ref="CV88:CW88" si="409">CV57</f>
        <v>2459451</v>
      </c>
      <c r="CW88" s="46">
        <f t="shared" si="409"/>
        <v>851372</v>
      </c>
      <c r="CX88" s="46">
        <f t="shared" ref="CX88:CY88" si="410">CX57</f>
        <v>1603007</v>
      </c>
      <c r="CY88" s="46">
        <f t="shared" si="410"/>
        <v>2368325</v>
      </c>
      <c r="CZ88" s="46">
        <f t="shared" ref="CZ88" si="411">CZ57</f>
        <v>3089456</v>
      </c>
      <c r="DA88" s="45">
        <f t="shared" ref="DA88:DP88" ca="1" si="412">+DA83+DA84-DA85+DA87</f>
        <v>3139895.7802102608</v>
      </c>
      <c r="DB88" s="45">
        <f t="shared" ca="1" si="412"/>
        <v>3991333.9419493107</v>
      </c>
      <c r="DC88" s="45">
        <f t="shared" ca="1" si="412"/>
        <v>4899966.6643413603</v>
      </c>
      <c r="DD88" s="45">
        <f t="shared" ca="1" si="412"/>
        <v>5834767.3672455736</v>
      </c>
      <c r="DE88" s="45">
        <f t="shared" ca="1" si="412"/>
        <v>5958608.9739074698</v>
      </c>
      <c r="DF88" s="45">
        <f t="shared" ca="1" si="412"/>
        <v>6994017.0110552423</v>
      </c>
      <c r="DG88" s="45">
        <f t="shared" ca="1" si="412"/>
        <v>8051493.484519273</v>
      </c>
      <c r="DH88" s="45">
        <f t="shared" ca="1" si="412"/>
        <v>9126978.4178670123</v>
      </c>
      <c r="DI88" s="45">
        <f t="shared" ca="1" si="412"/>
        <v>9245194.9498214517</v>
      </c>
      <c r="DJ88" s="45">
        <f t="shared" ca="1" si="412"/>
        <v>10467090.479188249</v>
      </c>
      <c r="DK88" s="45">
        <f t="shared" ca="1" si="412"/>
        <v>11733396.597124502</v>
      </c>
      <c r="DL88" s="45">
        <f t="shared" ca="1" si="412"/>
        <v>13035834.829394052</v>
      </c>
      <c r="DM88" s="45">
        <f t="shared" ca="1" si="412"/>
        <v>13179577.315217862</v>
      </c>
      <c r="DN88" s="45">
        <f t="shared" ca="1" si="412"/>
        <v>14590994.910160255</v>
      </c>
      <c r="DO88" s="45">
        <f t="shared" ca="1" si="412"/>
        <v>16034622.878984688</v>
      </c>
      <c r="DP88" s="45">
        <f t="shared" ca="1" si="412"/>
        <v>17494281.001333527</v>
      </c>
      <c r="DQ88" s="45">
        <f t="shared" ref="DQ88:DT88" ca="1" si="413">+DQ83+DQ84-DQ85+DQ87</f>
        <v>17647044.415217988</v>
      </c>
      <c r="DR88" s="45">
        <f t="shared" ca="1" si="413"/>
        <v>19284496.396513186</v>
      </c>
      <c r="DS88" s="45">
        <f t="shared" ca="1" si="413"/>
        <v>20972725.641893443</v>
      </c>
      <c r="DT88" s="45">
        <f t="shared" ca="1" si="413"/>
        <v>22682110.162954748</v>
      </c>
      <c r="DU88" s="45">
        <f t="shared" ref="DU88:DX88" ca="1" si="414">+DU83+DU84-DU85+DU87</f>
        <v>22868102.137122907</v>
      </c>
      <c r="DV88" s="45">
        <f t="shared" ca="1" si="414"/>
        <v>24773672.499543775</v>
      </c>
      <c r="DW88" s="45">
        <f t="shared" ca="1" si="414"/>
        <v>26728082.085497562</v>
      </c>
      <c r="DX88" s="45">
        <f t="shared" ca="1" si="414"/>
        <v>28711813.015105285</v>
      </c>
    </row>
    <row r="89" spans="1:128" s="31" customFormat="1">
      <c r="A89" s="154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8"/>
      <c r="R89" s="58"/>
      <c r="S89" s="58"/>
      <c r="T89" s="56"/>
      <c r="U89" s="55"/>
      <c r="V89" s="55"/>
      <c r="W89" s="55"/>
      <c r="X89" s="55"/>
      <c r="Y89" s="55"/>
      <c r="Z89" s="55"/>
      <c r="AB89" s="150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6"/>
      <c r="BJ89" s="56"/>
      <c r="BK89" s="56"/>
      <c r="BL89" s="56"/>
      <c r="BM89" s="56"/>
      <c r="BN89" s="56"/>
      <c r="BO89" s="56"/>
      <c r="BP89" s="56"/>
      <c r="BQ89" s="56"/>
      <c r="BR89" s="56"/>
      <c r="BS89" s="56"/>
      <c r="BT89" s="56"/>
      <c r="BU89" s="56"/>
      <c r="BV89" s="56"/>
      <c r="BW89" s="56"/>
      <c r="BX89" s="56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55"/>
      <c r="CN89" s="55"/>
      <c r="CO89" s="55"/>
      <c r="CP89" s="55"/>
      <c r="CQ89" s="55"/>
      <c r="CR89" s="55"/>
      <c r="CS89" s="55"/>
      <c r="CT89" s="55"/>
      <c r="CU89" s="55"/>
      <c r="CV89" s="55"/>
      <c r="CW89" s="55"/>
      <c r="CX89" s="55"/>
      <c r="CY89" s="55"/>
      <c r="CZ89" s="55"/>
      <c r="DA89" s="55"/>
      <c r="DB89" s="55"/>
      <c r="DC89" s="55"/>
      <c r="DD89" s="55"/>
      <c r="DE89" s="55"/>
      <c r="DF89" s="55"/>
      <c r="DG89" s="55"/>
      <c r="DH89" s="55"/>
      <c r="DI89" s="55"/>
      <c r="DJ89" s="55"/>
      <c r="DK89" s="55"/>
      <c r="DL89" s="55"/>
      <c r="DM89" s="55"/>
      <c r="DN89" s="55"/>
      <c r="DO89" s="55"/>
      <c r="DP89" s="55"/>
      <c r="DQ89" s="55"/>
      <c r="DR89" s="55"/>
      <c r="DS89" s="55"/>
      <c r="DT89" s="55"/>
      <c r="DU89" s="55"/>
      <c r="DV89" s="55"/>
      <c r="DW89" s="55"/>
      <c r="DX89" s="55"/>
    </row>
    <row r="90" spans="1:128" s="31" customFormat="1">
      <c r="A90" s="168" t="s">
        <v>169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8"/>
      <c r="R90" s="58"/>
      <c r="S90" s="58"/>
      <c r="T90" s="56"/>
      <c r="U90" s="55"/>
      <c r="V90" s="55"/>
      <c r="W90" s="55"/>
      <c r="X90" s="55"/>
      <c r="Y90" s="55"/>
      <c r="Z90" s="55"/>
      <c r="AB90" s="167" t="s">
        <v>168</v>
      </c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56"/>
      <c r="BI90" s="56"/>
      <c r="BJ90" s="56"/>
      <c r="BK90" s="56"/>
      <c r="BL90" s="56"/>
      <c r="BM90" s="56"/>
      <c r="BN90" s="56"/>
      <c r="BO90" s="56"/>
      <c r="BP90" s="56"/>
      <c r="BQ90" s="56"/>
      <c r="BR90" s="56"/>
      <c r="BS90" s="56"/>
      <c r="BT90" s="56"/>
      <c r="BU90" s="56"/>
      <c r="BV90" s="56"/>
      <c r="BW90" s="56"/>
      <c r="BX90" s="56"/>
      <c r="BY90" s="56"/>
      <c r="BZ90" s="56"/>
      <c r="CA90" s="56"/>
      <c r="CB90" s="56"/>
      <c r="CC90" s="56"/>
      <c r="CD90" s="56"/>
      <c r="CE90" s="56"/>
      <c r="CF90" s="56"/>
      <c r="CG90" s="56"/>
      <c r="CH90" s="56"/>
      <c r="CI90" s="56"/>
      <c r="CJ90" s="56"/>
      <c r="CK90" s="56"/>
      <c r="CL90" s="56"/>
      <c r="CM90" s="55"/>
      <c r="CN90" s="55"/>
      <c r="CO90" s="55"/>
      <c r="CP90" s="55"/>
      <c r="CQ90" s="55"/>
      <c r="CR90" s="55"/>
      <c r="CS90" s="55"/>
      <c r="CT90" s="55"/>
      <c r="CU90" s="55"/>
      <c r="CV90" s="55"/>
      <c r="CW90" s="55"/>
      <c r="CX90" s="55"/>
      <c r="CY90" s="55"/>
      <c r="CZ90" s="55"/>
      <c r="DA90" s="55"/>
      <c r="DB90" s="55"/>
      <c r="DC90" s="55"/>
      <c r="DD90" s="55"/>
      <c r="DE90" s="55"/>
      <c r="DF90" s="55"/>
      <c r="DG90" s="55"/>
      <c r="DH90" s="55"/>
      <c r="DI90" s="55"/>
      <c r="DJ90" s="55"/>
      <c r="DK90" s="55"/>
      <c r="DL90" s="55"/>
      <c r="DM90" s="55"/>
      <c r="DN90" s="55"/>
      <c r="DO90" s="55"/>
      <c r="DP90" s="55"/>
      <c r="DQ90" s="55"/>
      <c r="DR90" s="55"/>
      <c r="DS90" s="55"/>
      <c r="DT90" s="55"/>
      <c r="DU90" s="55"/>
      <c r="DV90" s="55"/>
      <c r="DW90" s="55"/>
      <c r="DX90" s="55"/>
    </row>
    <row r="91" spans="1:128" s="31" customFormat="1">
      <c r="A91" s="166" t="s">
        <v>167</v>
      </c>
      <c r="B91" s="56">
        <f>+AF91</f>
        <v>0</v>
      </c>
      <c r="C91" s="56">
        <f>+AJ91</f>
        <v>0</v>
      </c>
      <c r="D91" s="56">
        <f>+AN91</f>
        <v>0</v>
      </c>
      <c r="E91" s="56">
        <f>+AO91</f>
        <v>0</v>
      </c>
      <c r="F91" s="56">
        <f>+AV91</f>
        <v>0</v>
      </c>
      <c r="G91" s="56">
        <f>+AZ91</f>
        <v>0</v>
      </c>
      <c r="H91" s="56">
        <f>+BD91</f>
        <v>0</v>
      </c>
      <c r="I91" s="56">
        <f>+BH91</f>
        <v>0</v>
      </c>
      <c r="J91" s="56">
        <f>+BL91</f>
        <v>0</v>
      </c>
      <c r="K91" s="56">
        <f>+BP91</f>
        <v>0</v>
      </c>
      <c r="L91" s="56">
        <f>+BT91</f>
        <v>0</v>
      </c>
      <c r="M91" s="56">
        <f>L95</f>
        <v>0</v>
      </c>
      <c r="N91" s="56">
        <f>+CB91</f>
        <v>3038275.8977664802</v>
      </c>
      <c r="O91" s="56">
        <f>+CF91</f>
        <v>3860269.4601090299</v>
      </c>
      <c r="P91" s="56">
        <f>+CJ91</f>
        <v>4971768.7065021005</v>
      </c>
      <c r="Q91" s="58">
        <f>+CN91</f>
        <v>5981081.4119047793</v>
      </c>
      <c r="R91" s="58">
        <f>+CR91</f>
        <v>8064441.1025021998</v>
      </c>
      <c r="S91" s="58">
        <f>+CV91</f>
        <v>9303397</v>
      </c>
      <c r="T91" s="56">
        <f>+CZ91</f>
        <v>11127858</v>
      </c>
      <c r="U91" s="55">
        <f>+DD91</f>
        <v>11222405</v>
      </c>
      <c r="V91" s="55">
        <f>+DH91</f>
        <v>11222405</v>
      </c>
      <c r="W91" s="55">
        <f>+DL91</f>
        <v>11222405</v>
      </c>
      <c r="X91" s="55">
        <f>+DP91</f>
        <v>11222405</v>
      </c>
      <c r="Y91" s="55">
        <f>+DT91</f>
        <v>11222405</v>
      </c>
      <c r="Z91" s="55">
        <f>+DX91</f>
        <v>11222405</v>
      </c>
      <c r="AB91" s="165" t="s">
        <v>167</v>
      </c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56"/>
      <c r="AZ91" s="56"/>
      <c r="BA91" s="56"/>
      <c r="BB91" s="56"/>
      <c r="BC91" s="56"/>
      <c r="BD91" s="56"/>
      <c r="BE91" s="56"/>
      <c r="BF91" s="56"/>
      <c r="BG91" s="56"/>
      <c r="BH91" s="56"/>
      <c r="BI91" s="56"/>
      <c r="BJ91" s="56"/>
      <c r="BK91" s="56"/>
      <c r="BL91" s="56"/>
      <c r="BM91" s="56"/>
      <c r="BN91" s="56"/>
      <c r="BO91" s="56"/>
      <c r="BP91" s="56"/>
      <c r="BQ91" s="56"/>
      <c r="BR91" s="56"/>
      <c r="BS91" s="56"/>
      <c r="BT91" s="56"/>
      <c r="BU91" s="56"/>
      <c r="BV91" s="56"/>
      <c r="BW91" s="56"/>
      <c r="BX91" s="56"/>
      <c r="BY91" s="56">
        <f t="shared" ref="BY91:CB91" si="415">BX95</f>
        <v>0</v>
      </c>
      <c r="BZ91" s="56">
        <f t="shared" si="415"/>
        <v>3330093.6590984203</v>
      </c>
      <c r="CA91" s="56">
        <f t="shared" si="415"/>
        <v>3171016.1068921997</v>
      </c>
      <c r="CB91" s="56">
        <f t="shared" si="415"/>
        <v>3038275.8977664802</v>
      </c>
      <c r="CC91" s="56">
        <f t="shared" ref="CC91:CZ91" si="416">+CB95</f>
        <v>3044596.8601058004</v>
      </c>
      <c r="CD91" s="56">
        <f t="shared" si="416"/>
        <v>3935064.7779582902</v>
      </c>
      <c r="CE91" s="56">
        <f t="shared" si="416"/>
        <v>3914288.3007779401</v>
      </c>
      <c r="CF91" s="56">
        <f t="shared" si="416"/>
        <v>3860269.4601090299</v>
      </c>
      <c r="CG91" s="56">
        <f t="shared" si="416"/>
        <v>3890741.6266402104</v>
      </c>
      <c r="CH91" s="56">
        <f t="shared" si="416"/>
        <v>5025386.44339824</v>
      </c>
      <c r="CI91" s="56">
        <f t="shared" si="416"/>
        <v>4928738.6131173009</v>
      </c>
      <c r="CJ91" s="56">
        <f t="shared" si="416"/>
        <v>4971768.7065021005</v>
      </c>
      <c r="CK91" s="56">
        <f t="shared" si="416"/>
        <v>4833713.8235592013</v>
      </c>
      <c r="CL91" s="56">
        <f t="shared" si="416"/>
        <v>6117694.1247752402</v>
      </c>
      <c r="CM91" s="56">
        <f t="shared" si="416"/>
        <v>6137457.9342314694</v>
      </c>
      <c r="CN91" s="56">
        <f t="shared" si="416"/>
        <v>5981081.4119047793</v>
      </c>
      <c r="CO91" s="56">
        <f t="shared" si="416"/>
        <v>5881730.2995134993</v>
      </c>
      <c r="CP91" s="56">
        <f t="shared" si="416"/>
        <v>7496578.6890805801</v>
      </c>
      <c r="CQ91" s="56">
        <f t="shared" si="416"/>
        <v>8051318.9549148213</v>
      </c>
      <c r="CR91" s="56">
        <f t="shared" si="416"/>
        <v>8064441.1025021998</v>
      </c>
      <c r="CS91" s="56">
        <f t="shared" si="416"/>
        <v>8115308.8728374001</v>
      </c>
      <c r="CT91" s="56">
        <f t="shared" si="416"/>
        <v>9314193</v>
      </c>
      <c r="CU91" s="56">
        <f t="shared" si="416"/>
        <v>9288799</v>
      </c>
      <c r="CV91" s="56">
        <f t="shared" si="416"/>
        <v>9303397</v>
      </c>
      <c r="CW91" s="56">
        <f t="shared" si="416"/>
        <v>9316314</v>
      </c>
      <c r="CX91" s="56">
        <f t="shared" si="416"/>
        <v>11133305</v>
      </c>
      <c r="CY91" s="56">
        <f t="shared" si="416"/>
        <v>11112964</v>
      </c>
      <c r="CZ91" s="56">
        <f t="shared" si="416"/>
        <v>11127858</v>
      </c>
      <c r="DA91" s="55">
        <f t="shared" ref="DA91" si="417">+CZ95</f>
        <v>11222405</v>
      </c>
      <c r="DB91" s="55">
        <f t="shared" ref="DB91" si="418">+DA95</f>
        <v>11222405</v>
      </c>
      <c r="DC91" s="55">
        <f t="shared" ref="DC91" si="419">+DB95</f>
        <v>11222405</v>
      </c>
      <c r="DD91" s="55">
        <f t="shared" ref="DD91" si="420">+DC95</f>
        <v>11222405</v>
      </c>
      <c r="DE91" s="55">
        <f t="shared" ref="DE91" si="421">+DD95</f>
        <v>11222405</v>
      </c>
      <c r="DF91" s="55">
        <f t="shared" ref="DF91" si="422">+DE95</f>
        <v>11222405</v>
      </c>
      <c r="DG91" s="55">
        <f t="shared" ref="DG91" si="423">+DF95</f>
        <v>11222405</v>
      </c>
      <c r="DH91" s="55">
        <f t="shared" ref="DH91" si="424">+DG95</f>
        <v>11222405</v>
      </c>
      <c r="DI91" s="55">
        <f t="shared" ref="DI91" si="425">+DH95</f>
        <v>11222405</v>
      </c>
      <c r="DJ91" s="55">
        <f t="shared" ref="DJ91" si="426">+DI95</f>
        <v>11222405</v>
      </c>
      <c r="DK91" s="55">
        <f t="shared" ref="DK91" si="427">+DJ95</f>
        <v>11222405</v>
      </c>
      <c r="DL91" s="55">
        <f t="shared" ref="DL91" si="428">+DK95</f>
        <v>11222405</v>
      </c>
      <c r="DM91" s="55">
        <f t="shared" ref="DM91" si="429">+DL95</f>
        <v>11222405</v>
      </c>
      <c r="DN91" s="55">
        <f t="shared" ref="DN91" si="430">+DM95</f>
        <v>11222405</v>
      </c>
      <c r="DO91" s="55">
        <f t="shared" ref="DO91" si="431">+DN95</f>
        <v>11222405</v>
      </c>
      <c r="DP91" s="55">
        <f t="shared" ref="DP91" si="432">+DO95</f>
        <v>11222405</v>
      </c>
      <c r="DQ91" s="55">
        <f t="shared" ref="DQ91" si="433">+DP95</f>
        <v>11222405</v>
      </c>
      <c r="DR91" s="55">
        <f t="shared" ref="DR91" si="434">+DQ95</f>
        <v>11222405</v>
      </c>
      <c r="DS91" s="55">
        <f t="shared" ref="DS91" si="435">+DR95</f>
        <v>11222405</v>
      </c>
      <c r="DT91" s="55">
        <f t="shared" ref="DT91" si="436">+DS95</f>
        <v>11222405</v>
      </c>
      <c r="DU91" s="55">
        <f t="shared" ref="DU91" si="437">+DT95</f>
        <v>11222405</v>
      </c>
      <c r="DV91" s="55">
        <f t="shared" ref="DV91" si="438">+DU95</f>
        <v>11222405</v>
      </c>
      <c r="DW91" s="55">
        <f t="shared" ref="DW91" si="439">+DV95</f>
        <v>11222405</v>
      </c>
      <c r="DX91" s="55">
        <f t="shared" ref="DX91" si="440">+DW95</f>
        <v>11222405</v>
      </c>
    </row>
    <row r="92" spans="1:128" s="31" customFormat="1">
      <c r="A92" s="154" t="s">
        <v>166</v>
      </c>
      <c r="B92" s="56">
        <f>+AF92</f>
        <v>0</v>
      </c>
      <c r="C92" s="56">
        <f>+AJ92</f>
        <v>0</v>
      </c>
      <c r="D92" s="56">
        <f>+AN92</f>
        <v>0</v>
      </c>
      <c r="E92" s="56">
        <f>+AO92</f>
        <v>0</v>
      </c>
      <c r="F92" s="56">
        <f>+AV92</f>
        <v>0</v>
      </c>
      <c r="G92" s="56">
        <f>+AZ92</f>
        <v>0</v>
      </c>
      <c r="H92" s="56">
        <f>+SUM(BA92:BD92)</f>
        <v>0</v>
      </c>
      <c r="I92" s="56">
        <f>+SUM(BE92:BH92)</f>
        <v>0</v>
      </c>
      <c r="J92" s="56">
        <f>+SUM(BI92:BL92)</f>
        <v>0</v>
      </c>
      <c r="K92" s="56">
        <f>+SUM(BM92:BP92)</f>
        <v>0</v>
      </c>
      <c r="L92" s="56">
        <f>+SUM(BQ92:BT92)</f>
        <v>0</v>
      </c>
      <c r="M92" s="56">
        <f>+SUM(BU92:BX92)</f>
        <v>0</v>
      </c>
      <c r="N92" s="56">
        <f>+SUM(BY92:CB92)</f>
        <v>3044596.8601058004</v>
      </c>
      <c r="O92" s="56">
        <f>+SUM(CC92:CF92)</f>
        <v>846144.76653440995</v>
      </c>
      <c r="P92" s="56">
        <f>+SUM(CG92:CJ92)</f>
        <v>942972.19691899093</v>
      </c>
      <c r="Q92" s="58">
        <f>+SUM(CK92:CN92)</f>
        <v>1048016.4759542979</v>
      </c>
      <c r="R92" s="58">
        <f>+SUM(CL92:CR92)</f>
        <v>1997614.7480621599</v>
      </c>
      <c r="S92" s="58">
        <f>+SUM(CS92:CV92)</f>
        <v>1201005.1271625999</v>
      </c>
      <c r="T92" s="56">
        <f>+SUM(CW92:CZ92)</f>
        <v>1906091</v>
      </c>
      <c r="U92" s="55">
        <f>+SUM(DA92:DD92)</f>
        <v>0</v>
      </c>
      <c r="V92" s="55">
        <f>+SUM(DE92:DH92)</f>
        <v>0</v>
      </c>
      <c r="W92" s="55">
        <f>+SUM(DI92:DL92)</f>
        <v>0</v>
      </c>
      <c r="X92" s="55">
        <f>+SUM(DM92:DP92)</f>
        <v>0</v>
      </c>
      <c r="Y92" s="55">
        <f>+SUM(DQ92:DT92)</f>
        <v>0</v>
      </c>
      <c r="Z92" s="55">
        <f>+SUM(DU92:DX92)</f>
        <v>0</v>
      </c>
      <c r="AB92" s="150" t="s">
        <v>39</v>
      </c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6"/>
      <c r="BR92" s="56"/>
      <c r="BS92" s="56"/>
      <c r="BT92" s="56"/>
      <c r="BU92" s="56"/>
      <c r="BV92" s="56"/>
      <c r="BW92" s="56"/>
      <c r="BX92" s="56"/>
      <c r="BY92" s="56">
        <f t="shared" ref="BY92:CO92" si="441">BY86</f>
        <v>3330093.6590984203</v>
      </c>
      <c r="BZ92" s="56">
        <f t="shared" si="441"/>
        <v>-159077.55220622057</v>
      </c>
      <c r="CA92" s="56">
        <f t="shared" si="441"/>
        <v>-132740.2091257195</v>
      </c>
      <c r="CB92" s="56">
        <f t="shared" si="441"/>
        <v>6320.9623393202201</v>
      </c>
      <c r="CC92" s="56">
        <f t="shared" si="441"/>
        <v>890467.91785248974</v>
      </c>
      <c r="CD92" s="56">
        <f t="shared" si="441"/>
        <v>-20776.477180350106</v>
      </c>
      <c r="CE92" s="56">
        <f t="shared" si="441"/>
        <v>-54018.840668910183</v>
      </c>
      <c r="CF92" s="56">
        <f t="shared" si="441"/>
        <v>30472.166531180497</v>
      </c>
      <c r="CG92" s="56">
        <f t="shared" si="441"/>
        <v>1134644.8167580296</v>
      </c>
      <c r="CH92" s="56">
        <f t="shared" si="441"/>
        <v>-96647.830280939117</v>
      </c>
      <c r="CI92" s="56">
        <f t="shared" si="441"/>
        <v>43030.093384799547</v>
      </c>
      <c r="CJ92" s="56">
        <f t="shared" si="441"/>
        <v>-138054.88294289913</v>
      </c>
      <c r="CK92" s="56">
        <f t="shared" si="441"/>
        <v>1283980.3012160389</v>
      </c>
      <c r="CL92" s="56">
        <f t="shared" si="441"/>
        <v>19763.80945622921</v>
      </c>
      <c r="CM92" s="56">
        <f t="shared" si="441"/>
        <v>-156376.52232669014</v>
      </c>
      <c r="CN92" s="56">
        <f t="shared" si="441"/>
        <v>-99351.11239128001</v>
      </c>
      <c r="CO92" s="56">
        <f t="shared" si="441"/>
        <v>1614848.3895670809</v>
      </c>
      <c r="CP92" s="56">
        <f t="shared" ref="CP92:CQ92" si="442">CP86</f>
        <v>554740.26583424117</v>
      </c>
      <c r="CQ92" s="56">
        <f t="shared" si="442"/>
        <v>13122.147587378509</v>
      </c>
      <c r="CR92" s="56">
        <f t="shared" ref="CR92:CS92" si="443">CR86</f>
        <v>50867.770335200243</v>
      </c>
      <c r="CS92" s="56">
        <f t="shared" si="443"/>
        <v>1198884.1271625999</v>
      </c>
      <c r="CT92" s="56">
        <f t="shared" ref="CT92:CU92" si="444">CT86</f>
        <v>-25394</v>
      </c>
      <c r="CU92" s="56">
        <f t="shared" si="444"/>
        <v>14598</v>
      </c>
      <c r="CV92" s="56">
        <f t="shared" ref="CV92:CW92" si="445">CV86</f>
        <v>12917</v>
      </c>
      <c r="CW92" s="56">
        <f t="shared" si="445"/>
        <v>1816991</v>
      </c>
      <c r="CX92" s="56">
        <f t="shared" ref="CX92:CY92" si="446">CX86</f>
        <v>-20341</v>
      </c>
      <c r="CY92" s="56">
        <f t="shared" si="446"/>
        <v>14894</v>
      </c>
      <c r="CZ92" s="56">
        <f t="shared" ref="CZ92" si="447">CZ86</f>
        <v>94547</v>
      </c>
      <c r="DA92" s="55">
        <f t="shared" ref="DA92:DP92" si="448">DA86</f>
        <v>0</v>
      </c>
      <c r="DB92" s="55">
        <f t="shared" si="448"/>
        <v>0</v>
      </c>
      <c r="DC92" s="55">
        <f t="shared" si="448"/>
        <v>0</v>
      </c>
      <c r="DD92" s="55">
        <f t="shared" si="448"/>
        <v>0</v>
      </c>
      <c r="DE92" s="55">
        <f t="shared" si="448"/>
        <v>0</v>
      </c>
      <c r="DF92" s="55">
        <f t="shared" si="448"/>
        <v>0</v>
      </c>
      <c r="DG92" s="55">
        <f t="shared" si="448"/>
        <v>0</v>
      </c>
      <c r="DH92" s="55">
        <f t="shared" si="448"/>
        <v>0</v>
      </c>
      <c r="DI92" s="55">
        <f t="shared" si="448"/>
        <v>0</v>
      </c>
      <c r="DJ92" s="55">
        <f t="shared" si="448"/>
        <v>0</v>
      </c>
      <c r="DK92" s="55">
        <f t="shared" si="448"/>
        <v>0</v>
      </c>
      <c r="DL92" s="55">
        <f t="shared" si="448"/>
        <v>0</v>
      </c>
      <c r="DM92" s="55">
        <f t="shared" si="448"/>
        <v>0</v>
      </c>
      <c r="DN92" s="55">
        <f t="shared" si="448"/>
        <v>0</v>
      </c>
      <c r="DO92" s="55">
        <f t="shared" si="448"/>
        <v>0</v>
      </c>
      <c r="DP92" s="55">
        <f t="shared" si="448"/>
        <v>0</v>
      </c>
      <c r="DQ92" s="55">
        <f t="shared" ref="DQ92:DT92" si="449">DQ86</f>
        <v>0</v>
      </c>
      <c r="DR92" s="55">
        <f t="shared" si="449"/>
        <v>0</v>
      </c>
      <c r="DS92" s="55">
        <f t="shared" si="449"/>
        <v>0</v>
      </c>
      <c r="DT92" s="55">
        <f t="shared" si="449"/>
        <v>0</v>
      </c>
      <c r="DU92" s="55">
        <f t="shared" ref="DU92:DX92" si="450">DU86</f>
        <v>0</v>
      </c>
      <c r="DV92" s="55">
        <f t="shared" si="450"/>
        <v>0</v>
      </c>
      <c r="DW92" s="55">
        <f t="shared" si="450"/>
        <v>0</v>
      </c>
      <c r="DX92" s="55">
        <f t="shared" si="450"/>
        <v>0</v>
      </c>
    </row>
    <row r="93" spans="1:128" s="31" customFormat="1">
      <c r="A93" s="154" t="s">
        <v>165</v>
      </c>
      <c r="B93" s="56"/>
      <c r="C93" s="56"/>
      <c r="D93" s="56"/>
      <c r="E93" s="56"/>
      <c r="F93" s="56"/>
      <c r="G93" s="56"/>
      <c r="H93" s="56">
        <f>+SUM(BA93:BD93)</f>
        <v>0</v>
      </c>
      <c r="I93" s="56">
        <f>+SUM(BE93:BH93)</f>
        <v>0</v>
      </c>
      <c r="J93" s="56">
        <f>+SUM(BI93:BL93)</f>
        <v>0</v>
      </c>
      <c r="K93" s="56">
        <f>+SUM(BM93:BP93)</f>
        <v>0</v>
      </c>
      <c r="L93" s="56">
        <f>+SUM(BQ93:BT93)</f>
        <v>0</v>
      </c>
      <c r="M93" s="56">
        <f>+SUM(BU93:BX93)</f>
        <v>0</v>
      </c>
      <c r="N93" s="56">
        <f>+SUM(BY93:CB93)</f>
        <v>0</v>
      </c>
      <c r="O93" s="56">
        <f>+SUM(CC93:CF93)</f>
        <v>0</v>
      </c>
      <c r="P93" s="56">
        <f>+SUM(CG93:CJ93)</f>
        <v>0</v>
      </c>
      <c r="Q93" s="58">
        <f>+SUM(CK93:CN93)</f>
        <v>0</v>
      </c>
      <c r="R93" s="58">
        <f>+SUM(CL93:CR93)</f>
        <v>0</v>
      </c>
      <c r="S93" s="58">
        <f>+SUM(CS93:CV93)</f>
        <v>0</v>
      </c>
      <c r="T93" s="56">
        <f>+SUM(CW93:CZ93)</f>
        <v>0</v>
      </c>
      <c r="U93" s="55">
        <f>+SUM(DA93:DD93)</f>
        <v>0</v>
      </c>
      <c r="V93" s="55">
        <f>+SUM(DE93:DH93)</f>
        <v>0</v>
      </c>
      <c r="W93" s="55">
        <f>+SUM(DI93:DL93)</f>
        <v>0</v>
      </c>
      <c r="X93" s="55">
        <f>+SUM(DM93:DP93)</f>
        <v>0</v>
      </c>
      <c r="Y93" s="55">
        <f>+SUM(DQ93:DT93)</f>
        <v>0</v>
      </c>
      <c r="Z93" s="55">
        <f>+SUM(DU93:DX93)</f>
        <v>0</v>
      </c>
      <c r="AB93" s="150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56"/>
      <c r="BX93" s="56"/>
      <c r="BY93" s="56">
        <v>0</v>
      </c>
      <c r="BZ93" s="56">
        <v>0</v>
      </c>
      <c r="CA93" s="56">
        <v>0</v>
      </c>
      <c r="CB93" s="56">
        <v>0</v>
      </c>
      <c r="CC93" s="56">
        <v>0</v>
      </c>
      <c r="CD93" s="56">
        <v>0</v>
      </c>
      <c r="CE93" s="56">
        <v>0</v>
      </c>
      <c r="CF93" s="56">
        <v>0</v>
      </c>
      <c r="CG93" s="56">
        <v>0</v>
      </c>
      <c r="CH93" s="56">
        <v>0</v>
      </c>
      <c r="CI93" s="56">
        <v>0</v>
      </c>
      <c r="CJ93" s="56">
        <v>0</v>
      </c>
      <c r="CK93" s="56">
        <v>0</v>
      </c>
      <c r="CL93" s="56">
        <v>0</v>
      </c>
      <c r="CM93" s="56">
        <v>0</v>
      </c>
      <c r="CN93" s="56">
        <v>0</v>
      </c>
      <c r="CO93" s="56">
        <v>0</v>
      </c>
      <c r="CP93" s="56">
        <v>0</v>
      </c>
      <c r="CQ93" s="56">
        <v>0</v>
      </c>
      <c r="CR93" s="56">
        <v>0</v>
      </c>
      <c r="CS93" s="56">
        <v>0</v>
      </c>
      <c r="CT93" s="56">
        <v>0</v>
      </c>
      <c r="CU93" s="56">
        <v>0</v>
      </c>
      <c r="CV93" s="56">
        <v>0</v>
      </c>
      <c r="CW93" s="56">
        <v>0</v>
      </c>
      <c r="CX93" s="56">
        <v>0</v>
      </c>
      <c r="CY93" s="56">
        <v>0</v>
      </c>
      <c r="CZ93" s="56">
        <v>0</v>
      </c>
      <c r="DA93" s="55">
        <v>0</v>
      </c>
      <c r="DB93" s="55">
        <v>0</v>
      </c>
      <c r="DC93" s="55">
        <v>0</v>
      </c>
      <c r="DD93" s="55">
        <v>0</v>
      </c>
      <c r="DE93" s="55">
        <v>0</v>
      </c>
      <c r="DF93" s="55">
        <v>0</v>
      </c>
      <c r="DG93" s="55">
        <v>0</v>
      </c>
      <c r="DH93" s="55">
        <v>0</v>
      </c>
      <c r="DI93" s="55">
        <v>0</v>
      </c>
      <c r="DJ93" s="55">
        <v>0</v>
      </c>
      <c r="DK93" s="55">
        <v>0</v>
      </c>
      <c r="DL93" s="55">
        <v>0</v>
      </c>
      <c r="DM93" s="55">
        <v>0</v>
      </c>
      <c r="DN93" s="55">
        <v>0</v>
      </c>
      <c r="DO93" s="55">
        <v>0</v>
      </c>
      <c r="DP93" s="55">
        <v>0</v>
      </c>
      <c r="DQ93" s="55">
        <v>0</v>
      </c>
      <c r="DR93" s="55">
        <v>0</v>
      </c>
      <c r="DS93" s="55">
        <v>0</v>
      </c>
      <c r="DT93" s="55">
        <v>0</v>
      </c>
      <c r="DU93" s="55">
        <v>0</v>
      </c>
      <c r="DV93" s="55">
        <v>0</v>
      </c>
      <c r="DW93" s="55">
        <v>0</v>
      </c>
      <c r="DX93" s="55">
        <v>0</v>
      </c>
    </row>
    <row r="94" spans="1:128" s="31" customFormat="1">
      <c r="A94" s="154" t="s">
        <v>45</v>
      </c>
      <c r="B94" s="46"/>
      <c r="C94" s="46"/>
      <c r="D94" s="46"/>
      <c r="E94" s="46"/>
      <c r="F94" s="46"/>
      <c r="G94" s="46"/>
      <c r="H94" s="56">
        <f>+SUM(BA94:BD94)</f>
        <v>0</v>
      </c>
      <c r="I94" s="56">
        <f>+SUM(BE94:BH94)</f>
        <v>0</v>
      </c>
      <c r="J94" s="56">
        <f>+SUM(BI94:BL94)</f>
        <v>0</v>
      </c>
      <c r="K94" s="56">
        <f>+SUM(BM94:BP94)</f>
        <v>0</v>
      </c>
      <c r="L94" s="56">
        <f>+SUM(BQ94:BT94)</f>
        <v>0</v>
      </c>
      <c r="M94" s="56">
        <f>+SUM(BU94:BX94)</f>
        <v>0</v>
      </c>
      <c r="N94" s="56">
        <f>+SUM(BY94:CB94)</f>
        <v>0</v>
      </c>
      <c r="O94" s="56">
        <f>+SUM(CC94:CF94)</f>
        <v>0</v>
      </c>
      <c r="P94" s="56">
        <f>+SUM(CG94:CJ94)</f>
        <v>0</v>
      </c>
      <c r="Q94" s="58">
        <f>+SUM(CK94:CN94)</f>
        <v>0</v>
      </c>
      <c r="R94" s="58">
        <f>+SUM(CL94:CR94)</f>
        <v>0</v>
      </c>
      <c r="S94" s="58">
        <f>+SUM(CS94:CV94)</f>
        <v>0</v>
      </c>
      <c r="T94" s="56">
        <f>+SUM(CW94:CZ94)</f>
        <v>0</v>
      </c>
      <c r="U94" s="55">
        <f>+SUM(DA94:DD94)</f>
        <v>0</v>
      </c>
      <c r="V94" s="55">
        <f>+SUM(DE94:DH94)</f>
        <v>0</v>
      </c>
      <c r="W94" s="55">
        <f>+SUM(DI94:DL94)</f>
        <v>0</v>
      </c>
      <c r="X94" s="55">
        <f>+SUM(DM94:DP94)</f>
        <v>0</v>
      </c>
      <c r="Y94" s="55">
        <f>+SUM(DQ94:DT94)</f>
        <v>0</v>
      </c>
      <c r="Z94" s="55">
        <f>+SUM(DU94:DX94)</f>
        <v>0</v>
      </c>
      <c r="AB94" s="154" t="s">
        <v>45</v>
      </c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>
        <f t="shared" ref="BY94:CO94" si="451">BY95-BY91-BY92</f>
        <v>0</v>
      </c>
      <c r="BZ94" s="148">
        <f t="shared" si="451"/>
        <v>0</v>
      </c>
      <c r="CA94" s="148">
        <f t="shared" si="451"/>
        <v>0</v>
      </c>
      <c r="CB94" s="148">
        <f t="shared" si="451"/>
        <v>0</v>
      </c>
      <c r="CC94" s="148">
        <f t="shared" si="451"/>
        <v>0</v>
      </c>
      <c r="CD94" s="148">
        <f t="shared" si="451"/>
        <v>0</v>
      </c>
      <c r="CE94" s="148">
        <f t="shared" si="451"/>
        <v>0</v>
      </c>
      <c r="CF94" s="148">
        <f t="shared" si="451"/>
        <v>0</v>
      </c>
      <c r="CG94" s="148">
        <f t="shared" si="451"/>
        <v>0</v>
      </c>
      <c r="CH94" s="148">
        <f t="shared" si="451"/>
        <v>0</v>
      </c>
      <c r="CI94" s="148">
        <f t="shared" si="451"/>
        <v>0</v>
      </c>
      <c r="CJ94" s="148">
        <f t="shared" si="451"/>
        <v>0</v>
      </c>
      <c r="CK94" s="148">
        <f t="shared" si="451"/>
        <v>0</v>
      </c>
      <c r="CL94" s="148">
        <f t="shared" si="451"/>
        <v>0</v>
      </c>
      <c r="CM94" s="148">
        <f t="shared" si="451"/>
        <v>0</v>
      </c>
      <c r="CN94" s="148">
        <f t="shared" si="451"/>
        <v>0</v>
      </c>
      <c r="CO94" s="148">
        <f t="shared" si="451"/>
        <v>0</v>
      </c>
      <c r="CP94" s="148">
        <f t="shared" ref="CP94:CQ94" si="452">CP95-CP91-CP92</f>
        <v>0</v>
      </c>
      <c r="CQ94" s="148">
        <f t="shared" si="452"/>
        <v>0</v>
      </c>
      <c r="CR94" s="148">
        <f t="shared" ref="CR94:CS94" si="453">CR95-CR91-CR92</f>
        <v>0</v>
      </c>
      <c r="CS94" s="148">
        <f t="shared" si="453"/>
        <v>0</v>
      </c>
      <c r="CT94" s="148">
        <f t="shared" ref="CT94:CU94" si="454">CT95-CT91-CT92</f>
        <v>0</v>
      </c>
      <c r="CU94" s="148">
        <f t="shared" si="454"/>
        <v>0</v>
      </c>
      <c r="CV94" s="148">
        <f t="shared" ref="CV94:CW94" si="455">CV95-CV91-CV92</f>
        <v>0</v>
      </c>
      <c r="CW94" s="148">
        <f t="shared" si="455"/>
        <v>0</v>
      </c>
      <c r="CX94" s="148">
        <f t="shared" ref="CX94:CY94" si="456">CX95-CX91-CX92</f>
        <v>0</v>
      </c>
      <c r="CY94" s="148">
        <f t="shared" si="456"/>
        <v>0</v>
      </c>
      <c r="CZ94" s="148">
        <f t="shared" ref="CZ94" si="457">CZ95-CZ91-CZ92</f>
        <v>0</v>
      </c>
      <c r="DA94" s="55">
        <v>0</v>
      </c>
      <c r="DB94" s="55">
        <v>0</v>
      </c>
      <c r="DC94" s="55">
        <v>0</v>
      </c>
      <c r="DD94" s="55">
        <v>0</v>
      </c>
      <c r="DE94" s="55">
        <v>0</v>
      </c>
      <c r="DF94" s="55">
        <v>0</v>
      </c>
      <c r="DG94" s="55">
        <v>0</v>
      </c>
      <c r="DH94" s="55">
        <v>0</v>
      </c>
      <c r="DI94" s="55">
        <v>0</v>
      </c>
      <c r="DJ94" s="55">
        <v>0</v>
      </c>
      <c r="DK94" s="55">
        <v>0</v>
      </c>
      <c r="DL94" s="55">
        <v>0</v>
      </c>
      <c r="DM94" s="55">
        <v>0</v>
      </c>
      <c r="DN94" s="55">
        <v>0</v>
      </c>
      <c r="DO94" s="55">
        <v>0</v>
      </c>
      <c r="DP94" s="55">
        <v>0</v>
      </c>
      <c r="DQ94" s="55">
        <v>0</v>
      </c>
      <c r="DR94" s="55">
        <v>0</v>
      </c>
      <c r="DS94" s="55">
        <v>0</v>
      </c>
      <c r="DT94" s="55">
        <v>0</v>
      </c>
      <c r="DU94" s="55">
        <v>0</v>
      </c>
      <c r="DV94" s="55">
        <v>0</v>
      </c>
      <c r="DW94" s="55">
        <v>0</v>
      </c>
      <c r="DX94" s="55">
        <v>0</v>
      </c>
    </row>
    <row r="95" spans="1:128" s="31" customFormat="1">
      <c r="A95" s="164" t="s">
        <v>164</v>
      </c>
      <c r="B95" s="46">
        <f>+AF95</f>
        <v>0</v>
      </c>
      <c r="C95" s="46">
        <f>+AJ95</f>
        <v>0</v>
      </c>
      <c r="D95" s="46">
        <f>+AN95</f>
        <v>0</v>
      </c>
      <c r="E95" s="46">
        <f>+AO95</f>
        <v>0</v>
      </c>
      <c r="F95" s="46">
        <f>+AV95</f>
        <v>0</v>
      </c>
      <c r="G95" s="46">
        <f>+AZ95</f>
        <v>0</v>
      </c>
      <c r="H95" s="46">
        <f>+BD95</f>
        <v>0</v>
      </c>
      <c r="I95" s="46">
        <f>+BH95</f>
        <v>0</v>
      </c>
      <c r="J95" s="46">
        <f>+BL95</f>
        <v>0</v>
      </c>
      <c r="K95" s="46">
        <f>+BP95</f>
        <v>0</v>
      </c>
      <c r="L95" s="46">
        <f>+BT95</f>
        <v>0</v>
      </c>
      <c r="M95" s="46">
        <f>+BX95</f>
        <v>0</v>
      </c>
      <c r="N95" s="46">
        <f>+CB95</f>
        <v>3044596.8601058004</v>
      </c>
      <c r="O95" s="46">
        <f>+CF95</f>
        <v>3890741.6266402104</v>
      </c>
      <c r="P95" s="46">
        <f>+CJ95</f>
        <v>4833713.8235592013</v>
      </c>
      <c r="Q95" s="48">
        <f>+CN95</f>
        <v>5881730.2995134993</v>
      </c>
      <c r="R95" s="48">
        <f>+CR95</f>
        <v>8115308.8728374001</v>
      </c>
      <c r="S95" s="48">
        <f>+CV95</f>
        <v>9316314</v>
      </c>
      <c r="T95" s="46">
        <f>+CZ95</f>
        <v>11222405</v>
      </c>
      <c r="U95" s="45">
        <f>+DD95</f>
        <v>11222405</v>
      </c>
      <c r="V95" s="45">
        <f>+DH95</f>
        <v>11222405</v>
      </c>
      <c r="W95" s="45">
        <f>+DL95</f>
        <v>11222405</v>
      </c>
      <c r="X95" s="45">
        <f>+DP95</f>
        <v>11222405</v>
      </c>
      <c r="Y95" s="45">
        <f>+DT95</f>
        <v>11222405</v>
      </c>
      <c r="Z95" s="45">
        <f>+DX95</f>
        <v>11222405</v>
      </c>
      <c r="AB95" s="163" t="s">
        <v>164</v>
      </c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>
        <f t="shared" ref="BY95:CO95" si="458">BY55</f>
        <v>3330093.6590984203</v>
      </c>
      <c r="BZ95" s="46">
        <f t="shared" si="458"/>
        <v>3171016.1068921997</v>
      </c>
      <c r="CA95" s="46">
        <f t="shared" si="458"/>
        <v>3038275.8977664802</v>
      </c>
      <c r="CB95" s="46">
        <f t="shared" si="458"/>
        <v>3044596.8601058004</v>
      </c>
      <c r="CC95" s="46">
        <f t="shared" si="458"/>
        <v>3935064.7779582902</v>
      </c>
      <c r="CD95" s="46">
        <f t="shared" si="458"/>
        <v>3914288.3007779401</v>
      </c>
      <c r="CE95" s="46">
        <f t="shared" si="458"/>
        <v>3860269.4601090299</v>
      </c>
      <c r="CF95" s="46">
        <f t="shared" si="458"/>
        <v>3890741.6266402104</v>
      </c>
      <c r="CG95" s="46">
        <f t="shared" si="458"/>
        <v>5025386.44339824</v>
      </c>
      <c r="CH95" s="46">
        <f t="shared" si="458"/>
        <v>4928738.6131173009</v>
      </c>
      <c r="CI95" s="46">
        <f t="shared" si="458"/>
        <v>4971768.7065021005</v>
      </c>
      <c r="CJ95" s="46">
        <f t="shared" si="458"/>
        <v>4833713.8235592013</v>
      </c>
      <c r="CK95" s="46">
        <f t="shared" si="458"/>
        <v>6117694.1247752402</v>
      </c>
      <c r="CL95" s="46">
        <f t="shared" si="458"/>
        <v>6137457.9342314694</v>
      </c>
      <c r="CM95" s="46">
        <f t="shared" si="458"/>
        <v>5981081.4119047793</v>
      </c>
      <c r="CN95" s="46">
        <f t="shared" si="458"/>
        <v>5881730.2995134993</v>
      </c>
      <c r="CO95" s="46">
        <f t="shared" si="458"/>
        <v>7496578.6890805801</v>
      </c>
      <c r="CP95" s="46">
        <f t="shared" ref="CP95:CQ95" si="459">CP55</f>
        <v>8051318.9549148213</v>
      </c>
      <c r="CQ95" s="46">
        <f t="shared" si="459"/>
        <v>8064441.1025021998</v>
      </c>
      <c r="CR95" s="46">
        <f t="shared" ref="CR95:CS95" si="460">CR55</f>
        <v>8115308.8728374001</v>
      </c>
      <c r="CS95" s="46">
        <f t="shared" si="460"/>
        <v>9314193</v>
      </c>
      <c r="CT95" s="46">
        <f t="shared" ref="CT95:CU95" si="461">CT55</f>
        <v>9288799</v>
      </c>
      <c r="CU95" s="46">
        <f t="shared" si="461"/>
        <v>9303397</v>
      </c>
      <c r="CV95" s="46">
        <f t="shared" ref="CV95:CW95" si="462">CV55</f>
        <v>9316314</v>
      </c>
      <c r="CW95" s="46">
        <f t="shared" si="462"/>
        <v>11133305</v>
      </c>
      <c r="CX95" s="46">
        <f t="shared" ref="CX95:CY95" si="463">CX55</f>
        <v>11112964</v>
      </c>
      <c r="CY95" s="46">
        <f t="shared" si="463"/>
        <v>11127858</v>
      </c>
      <c r="CZ95" s="46">
        <f t="shared" ref="CZ95" si="464">CZ55</f>
        <v>11222405</v>
      </c>
      <c r="DA95" s="45">
        <f t="shared" ref="DA95:DP95" si="465">DA91+DA92+DA93+DA94</f>
        <v>11222405</v>
      </c>
      <c r="DB95" s="45">
        <f t="shared" si="465"/>
        <v>11222405</v>
      </c>
      <c r="DC95" s="45">
        <f t="shared" si="465"/>
        <v>11222405</v>
      </c>
      <c r="DD95" s="45">
        <f t="shared" si="465"/>
        <v>11222405</v>
      </c>
      <c r="DE95" s="45">
        <f t="shared" si="465"/>
        <v>11222405</v>
      </c>
      <c r="DF95" s="45">
        <f t="shared" si="465"/>
        <v>11222405</v>
      </c>
      <c r="DG95" s="45">
        <f t="shared" si="465"/>
        <v>11222405</v>
      </c>
      <c r="DH95" s="45">
        <f t="shared" si="465"/>
        <v>11222405</v>
      </c>
      <c r="DI95" s="45">
        <f t="shared" si="465"/>
        <v>11222405</v>
      </c>
      <c r="DJ95" s="45">
        <f t="shared" si="465"/>
        <v>11222405</v>
      </c>
      <c r="DK95" s="45">
        <f t="shared" si="465"/>
        <v>11222405</v>
      </c>
      <c r="DL95" s="45">
        <f t="shared" si="465"/>
        <v>11222405</v>
      </c>
      <c r="DM95" s="45">
        <f t="shared" si="465"/>
        <v>11222405</v>
      </c>
      <c r="DN95" s="45">
        <f t="shared" si="465"/>
        <v>11222405</v>
      </c>
      <c r="DO95" s="45">
        <f t="shared" si="465"/>
        <v>11222405</v>
      </c>
      <c r="DP95" s="45">
        <f t="shared" si="465"/>
        <v>11222405</v>
      </c>
      <c r="DQ95" s="45">
        <f t="shared" ref="DQ95:DT95" si="466">DQ91+DQ92+DQ93+DQ94</f>
        <v>11222405</v>
      </c>
      <c r="DR95" s="45">
        <f t="shared" si="466"/>
        <v>11222405</v>
      </c>
      <c r="DS95" s="45">
        <f t="shared" si="466"/>
        <v>11222405</v>
      </c>
      <c r="DT95" s="45">
        <f t="shared" si="466"/>
        <v>11222405</v>
      </c>
      <c r="DU95" s="45">
        <f t="shared" ref="DU95:DX95" si="467">DU91+DU92+DU93+DU94</f>
        <v>11222405</v>
      </c>
      <c r="DV95" s="45">
        <f t="shared" si="467"/>
        <v>11222405</v>
      </c>
      <c r="DW95" s="45">
        <f t="shared" si="467"/>
        <v>11222405</v>
      </c>
      <c r="DX95" s="45">
        <f t="shared" si="467"/>
        <v>11222405</v>
      </c>
    </row>
    <row r="96" spans="1:128" s="31" customFormat="1">
      <c r="A96" s="154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8"/>
      <c r="R96" s="58"/>
      <c r="S96" s="58"/>
      <c r="T96" s="56"/>
      <c r="U96" s="55"/>
      <c r="V96" s="55"/>
      <c r="W96" s="55"/>
      <c r="X96" s="55"/>
      <c r="Y96" s="55"/>
      <c r="Z96" s="55"/>
      <c r="AB96" s="150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55"/>
      <c r="CN96" s="55"/>
      <c r="CO96" s="55"/>
      <c r="CP96" s="55"/>
      <c r="CQ96" s="55"/>
      <c r="CR96" s="55"/>
      <c r="CS96" s="55"/>
      <c r="CT96" s="55"/>
      <c r="CU96" s="55"/>
      <c r="CV96" s="55"/>
      <c r="CW96" s="55"/>
      <c r="CX96" s="55"/>
      <c r="CY96" s="55"/>
      <c r="CZ96" s="55"/>
      <c r="DA96" s="55"/>
      <c r="DB96" s="55"/>
      <c r="DC96" s="55"/>
      <c r="DD96" s="55"/>
      <c r="DE96" s="55"/>
      <c r="DF96" s="55"/>
      <c r="DG96" s="55"/>
      <c r="DH96" s="55"/>
      <c r="DI96" s="55"/>
      <c r="DJ96" s="55"/>
      <c r="DK96" s="55"/>
      <c r="DL96" s="55"/>
      <c r="DM96" s="55"/>
      <c r="DN96" s="55"/>
      <c r="DO96" s="55"/>
      <c r="DP96" s="55"/>
      <c r="DQ96" s="55"/>
      <c r="DR96" s="55"/>
      <c r="DS96" s="55"/>
      <c r="DT96" s="55"/>
      <c r="DU96" s="55"/>
      <c r="DV96" s="55"/>
      <c r="DW96" s="55"/>
      <c r="DX96" s="55"/>
    </row>
    <row r="97" spans="1:128" s="31" customFormat="1">
      <c r="A97" s="160" t="s">
        <v>163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162"/>
      <c r="R97" s="162"/>
      <c r="S97" s="162"/>
      <c r="T97" s="608"/>
      <c r="U97" s="155"/>
      <c r="V97" s="155"/>
      <c r="W97" s="155"/>
      <c r="X97" s="155"/>
      <c r="Y97" s="155"/>
      <c r="Z97" s="155"/>
      <c r="AB97" s="161" t="s">
        <v>163</v>
      </c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55"/>
      <c r="CN97" s="55"/>
      <c r="CO97" s="55"/>
      <c r="CP97" s="55"/>
      <c r="CQ97" s="55"/>
      <c r="CR97" s="55"/>
      <c r="CS97" s="55"/>
      <c r="CT97" s="55"/>
      <c r="CU97" s="55"/>
      <c r="CV97" s="55"/>
      <c r="CW97" s="55"/>
      <c r="CX97" s="55"/>
      <c r="CY97" s="55"/>
      <c r="CZ97" s="55"/>
      <c r="DA97" s="55"/>
      <c r="DB97" s="55"/>
      <c r="DC97" s="55"/>
      <c r="DD97" s="55"/>
      <c r="DE97" s="55"/>
      <c r="DF97" s="55"/>
      <c r="DG97" s="55"/>
      <c r="DH97" s="55"/>
      <c r="DI97" s="55"/>
      <c r="DJ97" s="55"/>
      <c r="DK97" s="55"/>
      <c r="DL97" s="55"/>
      <c r="DM97" s="55"/>
      <c r="DN97" s="55"/>
      <c r="DO97" s="55"/>
      <c r="DP97" s="55"/>
      <c r="DQ97" s="55"/>
      <c r="DR97" s="55"/>
      <c r="DS97" s="55"/>
      <c r="DT97" s="55"/>
      <c r="DU97" s="55"/>
      <c r="DV97" s="55"/>
      <c r="DW97" s="55"/>
      <c r="DX97" s="55"/>
    </row>
    <row r="98" spans="1:128" s="31" customFormat="1">
      <c r="A98" s="154" t="s">
        <v>162</v>
      </c>
      <c r="B98" s="153"/>
      <c r="C98" s="153"/>
      <c r="D98" s="153"/>
      <c r="E98" s="153"/>
      <c r="F98" s="153"/>
      <c r="G98" s="153"/>
      <c r="H98" s="56">
        <f>+SUM(BA98:BD98)</f>
        <v>0</v>
      </c>
      <c r="I98" s="56">
        <f>+SUM(BE98:BH98)</f>
        <v>0</v>
      </c>
      <c r="J98" s="56">
        <f>+SUM(BI98:BL98)</f>
        <v>0</v>
      </c>
      <c r="K98" s="56">
        <f>+SUM(BM98:BP98)</f>
        <v>0</v>
      </c>
      <c r="L98" s="56">
        <f>+SUM(BQ98:BT98)</f>
        <v>0</v>
      </c>
      <c r="M98" s="56">
        <f>+SUM(BU98:BX98)</f>
        <v>0</v>
      </c>
      <c r="N98" s="56">
        <f>+SUM(BY98:CB98)</f>
        <v>79760</v>
      </c>
      <c r="O98" s="56">
        <f>+SUM(CC98:CF98)</f>
        <v>0</v>
      </c>
      <c r="P98" s="56">
        <f>+SUM(CG98:CJ98)</f>
        <v>0</v>
      </c>
      <c r="Q98" s="58">
        <f>+SUM(CK98:CN98)</f>
        <v>0</v>
      </c>
      <c r="R98" s="58">
        <f>+SUM(CL98:CR98)</f>
        <v>0</v>
      </c>
      <c r="S98" s="58">
        <f>+SUM(CS98:CV98)</f>
        <v>0</v>
      </c>
      <c r="T98" s="56">
        <f ca="1">+SUM(CW98:CZ98)</f>
        <v>0</v>
      </c>
      <c r="U98" s="55">
        <f>+SUM(DA98:DD98)</f>
        <v>0</v>
      </c>
      <c r="V98" s="55">
        <f>+SUM(DE98:DH98)</f>
        <v>0</v>
      </c>
      <c r="W98" s="55">
        <f>+SUM(DI98:DL98)</f>
        <v>0</v>
      </c>
      <c r="X98" s="55">
        <f>+SUM(DM98:DP98)</f>
        <v>0</v>
      </c>
      <c r="Y98" s="55">
        <f>+SUM(DQ98:DT98)</f>
        <v>0</v>
      </c>
      <c r="Z98" s="55">
        <f>+SUM(DU98:DX98)</f>
        <v>0</v>
      </c>
      <c r="AB98" s="150" t="s">
        <v>162</v>
      </c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8">
        <f t="shared" ref="BY98:CD98" si="468">IF(BY109-BX109&gt;0,BY109-BX109,0)</f>
        <v>79760</v>
      </c>
      <c r="BZ98" s="148">
        <f t="shared" si="468"/>
        <v>0</v>
      </c>
      <c r="CA98" s="148">
        <f t="shared" si="468"/>
        <v>0</v>
      </c>
      <c r="CB98" s="148">
        <f t="shared" si="468"/>
        <v>0</v>
      </c>
      <c r="CC98" s="148">
        <f t="shared" si="468"/>
        <v>0</v>
      </c>
      <c r="CD98" s="148">
        <f t="shared" si="468"/>
        <v>0</v>
      </c>
      <c r="CE98" s="148">
        <v>0</v>
      </c>
      <c r="CF98" s="148">
        <v>0</v>
      </c>
      <c r="CG98" s="148">
        <f t="shared" ref="CG98:CZ98" si="469">IF(CG109-CF109&gt;0,CG109-CF109,0)</f>
        <v>0</v>
      </c>
      <c r="CH98" s="148">
        <f t="shared" si="469"/>
        <v>0</v>
      </c>
      <c r="CI98" s="148">
        <f t="shared" si="469"/>
        <v>0</v>
      </c>
      <c r="CJ98" s="148">
        <f t="shared" si="469"/>
        <v>0</v>
      </c>
      <c r="CK98" s="148">
        <f t="shared" si="469"/>
        <v>0</v>
      </c>
      <c r="CL98" s="148">
        <f t="shared" si="469"/>
        <v>0</v>
      </c>
      <c r="CM98" s="148">
        <f t="shared" si="469"/>
        <v>0</v>
      </c>
      <c r="CN98" s="148">
        <f t="shared" si="469"/>
        <v>0</v>
      </c>
      <c r="CO98" s="148">
        <f t="shared" si="469"/>
        <v>0</v>
      </c>
      <c r="CP98" s="148">
        <f t="shared" si="469"/>
        <v>0</v>
      </c>
      <c r="CQ98" s="148">
        <f t="shared" si="469"/>
        <v>0</v>
      </c>
      <c r="CR98" s="148">
        <f t="shared" si="469"/>
        <v>0</v>
      </c>
      <c r="CS98" s="148">
        <f t="shared" si="469"/>
        <v>0</v>
      </c>
      <c r="CT98" s="148">
        <f t="shared" si="469"/>
        <v>0</v>
      </c>
      <c r="CU98" s="148">
        <f t="shared" si="469"/>
        <v>0</v>
      </c>
      <c r="CV98" s="148">
        <f t="shared" si="469"/>
        <v>0</v>
      </c>
      <c r="CW98" s="148">
        <f t="shared" si="469"/>
        <v>0</v>
      </c>
      <c r="CX98" s="148">
        <f t="shared" si="469"/>
        <v>0</v>
      </c>
      <c r="CY98" s="148">
        <f t="shared" si="469"/>
        <v>0</v>
      </c>
      <c r="CZ98" s="148">
        <f t="shared" ca="1" si="469"/>
        <v>0</v>
      </c>
      <c r="DA98" s="55">
        <v>0</v>
      </c>
      <c r="DB98" s="55">
        <v>0</v>
      </c>
      <c r="DC98" s="55">
        <v>0</v>
      </c>
      <c r="DD98" s="55">
        <v>0</v>
      </c>
      <c r="DE98" s="55">
        <v>0</v>
      </c>
      <c r="DF98" s="55">
        <v>0</v>
      </c>
      <c r="DG98" s="55">
        <v>0</v>
      </c>
      <c r="DH98" s="55">
        <v>0</v>
      </c>
      <c r="DI98" s="55">
        <v>0</v>
      </c>
      <c r="DJ98" s="55">
        <v>0</v>
      </c>
      <c r="DK98" s="55">
        <v>0</v>
      </c>
      <c r="DL98" s="55">
        <v>0</v>
      </c>
      <c r="DM98" s="55">
        <v>0</v>
      </c>
      <c r="DN98" s="55">
        <v>0</v>
      </c>
      <c r="DO98" s="55">
        <v>0</v>
      </c>
      <c r="DP98" s="55">
        <v>0</v>
      </c>
      <c r="DQ98" s="55">
        <v>0</v>
      </c>
      <c r="DR98" s="55">
        <v>0</v>
      </c>
      <c r="DS98" s="55">
        <v>0</v>
      </c>
      <c r="DT98" s="55">
        <v>0</v>
      </c>
      <c r="DU98" s="55">
        <v>0</v>
      </c>
      <c r="DV98" s="55">
        <v>0</v>
      </c>
      <c r="DW98" s="55">
        <v>0</v>
      </c>
      <c r="DX98" s="55">
        <v>0</v>
      </c>
    </row>
    <row r="99" spans="1:128" s="31" customFormat="1">
      <c r="A99" s="154" t="s">
        <v>161</v>
      </c>
      <c r="B99" s="153"/>
      <c r="C99" s="153"/>
      <c r="D99" s="153"/>
      <c r="E99" s="153"/>
      <c r="F99" s="153"/>
      <c r="G99" s="153"/>
      <c r="H99" s="153" t="e">
        <f t="shared" ref="H99:X99" si="470">H100/H98</f>
        <v>#DIV/0!</v>
      </c>
      <c r="I99" s="153" t="e">
        <f t="shared" si="470"/>
        <v>#DIV/0!</v>
      </c>
      <c r="J99" s="153" t="e">
        <f t="shared" si="470"/>
        <v>#DIV/0!</v>
      </c>
      <c r="K99" s="153" t="e">
        <f t="shared" si="470"/>
        <v>#DIV/0!</v>
      </c>
      <c r="L99" s="153" t="e">
        <f t="shared" si="470"/>
        <v>#DIV/0!</v>
      </c>
      <c r="M99" s="153" t="e">
        <f t="shared" si="470"/>
        <v>#DIV/0!</v>
      </c>
      <c r="N99" s="153">
        <f t="shared" si="470"/>
        <v>17.099103318803902</v>
      </c>
      <c r="O99" s="153" t="e">
        <f t="shared" si="470"/>
        <v>#DIV/0!</v>
      </c>
      <c r="P99" s="153" t="e">
        <f t="shared" si="470"/>
        <v>#DIV/0!</v>
      </c>
      <c r="Q99" s="152" t="e">
        <f t="shared" si="470"/>
        <v>#DIV/0!</v>
      </c>
      <c r="R99" s="152" t="e">
        <f t="shared" si="470"/>
        <v>#DIV/0!</v>
      </c>
      <c r="S99" s="152" t="e">
        <f t="shared" si="470"/>
        <v>#DIV/0!</v>
      </c>
      <c r="T99" s="234" t="e">
        <f t="shared" ca="1" si="470"/>
        <v>#DIV/0!</v>
      </c>
      <c r="U99" s="151" t="e">
        <f t="shared" si="470"/>
        <v>#DIV/0!</v>
      </c>
      <c r="V99" s="151" t="e">
        <f t="shared" si="470"/>
        <v>#DIV/0!</v>
      </c>
      <c r="W99" s="151" t="e">
        <f t="shared" si="470"/>
        <v>#DIV/0!</v>
      </c>
      <c r="X99" s="151" t="e">
        <f t="shared" si="470"/>
        <v>#DIV/0!</v>
      </c>
      <c r="Y99" s="151" t="e">
        <f t="shared" ref="Y99:Z99" si="471">Y100/Y98</f>
        <v>#DIV/0!</v>
      </c>
      <c r="Z99" s="151" t="e">
        <f t="shared" si="471"/>
        <v>#DIV/0!</v>
      </c>
      <c r="AB99" s="150" t="s">
        <v>161</v>
      </c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  <c r="BI99" s="149"/>
      <c r="BJ99" s="149"/>
      <c r="BK99" s="149"/>
      <c r="BL99" s="149"/>
      <c r="BM99" s="149"/>
      <c r="BN99" s="149"/>
      <c r="BO99" s="149"/>
      <c r="BP99" s="149"/>
      <c r="BQ99" s="149"/>
      <c r="BR99" s="149"/>
      <c r="BS99" s="149"/>
      <c r="BT99" s="149"/>
      <c r="BU99" s="149"/>
      <c r="BV99" s="149"/>
      <c r="BW99" s="149"/>
      <c r="BX99" s="149"/>
      <c r="BY99" s="158">
        <f t="shared" ref="BY99:CO99" si="472">+BY100/BY98</f>
        <v>18.700136161191196</v>
      </c>
      <c r="BZ99" s="158" t="e">
        <f t="shared" si="472"/>
        <v>#DIV/0!</v>
      </c>
      <c r="CA99" s="158" t="e">
        <f t="shared" si="472"/>
        <v>#DIV/0!</v>
      </c>
      <c r="CB99" s="158" t="e">
        <f t="shared" si="472"/>
        <v>#DIV/0!</v>
      </c>
      <c r="CC99" s="158" t="e">
        <f t="shared" si="472"/>
        <v>#DIV/0!</v>
      </c>
      <c r="CD99" s="158" t="e">
        <f t="shared" si="472"/>
        <v>#DIV/0!</v>
      </c>
      <c r="CE99" s="158" t="e">
        <f t="shared" si="472"/>
        <v>#DIV/0!</v>
      </c>
      <c r="CF99" s="158" t="e">
        <f t="shared" si="472"/>
        <v>#DIV/0!</v>
      </c>
      <c r="CG99" s="158" t="e">
        <f t="shared" si="472"/>
        <v>#DIV/0!</v>
      </c>
      <c r="CH99" s="158" t="e">
        <f t="shared" si="472"/>
        <v>#DIV/0!</v>
      </c>
      <c r="CI99" s="158" t="e">
        <f t="shared" si="472"/>
        <v>#DIV/0!</v>
      </c>
      <c r="CJ99" s="158" t="e">
        <f t="shared" si="472"/>
        <v>#DIV/0!</v>
      </c>
      <c r="CK99" s="158" t="e">
        <f t="shared" si="472"/>
        <v>#DIV/0!</v>
      </c>
      <c r="CL99" s="158" t="e">
        <f t="shared" si="472"/>
        <v>#DIV/0!</v>
      </c>
      <c r="CM99" s="158" t="e">
        <f t="shared" si="472"/>
        <v>#DIV/0!</v>
      </c>
      <c r="CN99" s="158" t="e">
        <f t="shared" si="472"/>
        <v>#DIV/0!</v>
      </c>
      <c r="CO99" s="158" t="e">
        <f t="shared" si="472"/>
        <v>#DIV/0!</v>
      </c>
      <c r="CP99" s="158" t="e">
        <f t="shared" ref="CP99:CQ99" si="473">+CP100/CP98</f>
        <v>#DIV/0!</v>
      </c>
      <c r="CQ99" s="158" t="e">
        <f t="shared" si="473"/>
        <v>#DIV/0!</v>
      </c>
      <c r="CR99" s="158" t="e">
        <f t="shared" ref="CR99:CS99" si="474">+CR100/CR98</f>
        <v>#DIV/0!</v>
      </c>
      <c r="CS99" s="158" t="e">
        <f t="shared" si="474"/>
        <v>#DIV/0!</v>
      </c>
      <c r="CT99" s="158" t="e">
        <f t="shared" ref="CT99:CU99" si="475">+CT100/CT98</f>
        <v>#DIV/0!</v>
      </c>
      <c r="CU99" s="158" t="e">
        <f t="shared" si="475"/>
        <v>#DIV/0!</v>
      </c>
      <c r="CV99" s="158" t="e">
        <f t="shared" ref="CV99:CW99" si="476">+CV100/CV98</f>
        <v>#DIV/0!</v>
      </c>
      <c r="CW99" s="158" t="e">
        <f t="shared" si="476"/>
        <v>#DIV/0!</v>
      </c>
      <c r="CX99" s="158" t="e">
        <f t="shared" ref="CX99:CY99" si="477">+CX100/CX98</f>
        <v>#DIV/0!</v>
      </c>
      <c r="CY99" s="158" t="e">
        <f t="shared" si="477"/>
        <v>#DIV/0!</v>
      </c>
      <c r="CZ99" s="158" t="e">
        <f t="shared" ref="CZ99" ca="1" si="478">+CZ100/CZ98</f>
        <v>#DIV/0!</v>
      </c>
      <c r="DA99" s="55">
        <v>0</v>
      </c>
      <c r="DB99" s="55">
        <v>0</v>
      </c>
      <c r="DC99" s="55">
        <v>0</v>
      </c>
      <c r="DD99" s="55">
        <v>0</v>
      </c>
      <c r="DE99" s="55">
        <v>0</v>
      </c>
      <c r="DF99" s="55">
        <v>0</v>
      </c>
      <c r="DG99" s="55">
        <v>0</v>
      </c>
      <c r="DH99" s="55">
        <v>0</v>
      </c>
      <c r="DI99" s="55">
        <v>0</v>
      </c>
      <c r="DJ99" s="55">
        <v>0</v>
      </c>
      <c r="DK99" s="55">
        <v>0</v>
      </c>
      <c r="DL99" s="55">
        <v>0</v>
      </c>
      <c r="DM99" s="55">
        <v>0</v>
      </c>
      <c r="DN99" s="55">
        <v>0</v>
      </c>
      <c r="DO99" s="55">
        <v>0</v>
      </c>
      <c r="DP99" s="55">
        <v>0</v>
      </c>
      <c r="DQ99" s="55">
        <v>0</v>
      </c>
      <c r="DR99" s="55">
        <v>0</v>
      </c>
      <c r="DS99" s="55">
        <v>0</v>
      </c>
      <c r="DT99" s="55">
        <v>0</v>
      </c>
      <c r="DU99" s="55">
        <v>0</v>
      </c>
      <c r="DV99" s="55">
        <v>0</v>
      </c>
      <c r="DW99" s="55">
        <v>0</v>
      </c>
      <c r="DX99" s="55">
        <v>0</v>
      </c>
    </row>
    <row r="100" spans="1:128" s="31" customFormat="1">
      <c r="A100" s="154" t="s">
        <v>160</v>
      </c>
      <c r="B100" s="153"/>
      <c r="C100" s="153"/>
      <c r="D100" s="153"/>
      <c r="E100" s="153"/>
      <c r="F100" s="153"/>
      <c r="G100" s="153"/>
      <c r="H100" s="56">
        <f>+SUM(BA100:BD100)</f>
        <v>0</v>
      </c>
      <c r="I100" s="56">
        <f>+SUM(BE100:BH100)</f>
        <v>0</v>
      </c>
      <c r="J100" s="56">
        <f>+SUM(BI100:BL100)</f>
        <v>0</v>
      </c>
      <c r="K100" s="56">
        <f>+SUM(BM100:BP100)</f>
        <v>0</v>
      </c>
      <c r="L100" s="56">
        <f>+SUM(BQ100:BT100)</f>
        <v>0</v>
      </c>
      <c r="M100" s="56">
        <f>+SUM(BU100:BX100)</f>
        <v>0</v>
      </c>
      <c r="N100" s="56">
        <f>+SUM(BY100:CB100)</f>
        <v>1363824.4807077993</v>
      </c>
      <c r="O100" s="56">
        <f>+SUM(CC100:CF100)</f>
        <v>-38224.83844279917</v>
      </c>
      <c r="P100" s="56">
        <f>+SUM(CG100:CJ100)</f>
        <v>-53326.009104999946</v>
      </c>
      <c r="Q100" s="58">
        <f>+SUM(CK100:CN100)</f>
        <v>-68899.091410001507</v>
      </c>
      <c r="R100" s="58">
        <f>+SUM(CL100:CR100)</f>
        <v>60404.68288000254</v>
      </c>
      <c r="S100" s="58">
        <f>+SUM(CS100:CV100)</f>
        <v>0.11992500140331686</v>
      </c>
      <c r="T100" s="56">
        <f>+SUM(CW100:CZ100)</f>
        <v>0</v>
      </c>
      <c r="U100" s="55">
        <f>+SUM(DA100:DD100)</f>
        <v>0</v>
      </c>
      <c r="V100" s="55">
        <f>+SUM(DE100:DH100)</f>
        <v>0</v>
      </c>
      <c r="W100" s="55">
        <f>+SUM(DI100:DL100)</f>
        <v>0</v>
      </c>
      <c r="X100" s="55">
        <f>+SUM(DM100:DP100)</f>
        <v>0</v>
      </c>
      <c r="Y100" s="55">
        <f>+SUM(DQ100:DT100)</f>
        <v>0</v>
      </c>
      <c r="Z100" s="55">
        <f>+SUM(DU100:DX100)</f>
        <v>0</v>
      </c>
      <c r="AB100" s="150" t="s">
        <v>160</v>
      </c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149"/>
      <c r="BV100" s="149"/>
      <c r="BW100" s="149"/>
      <c r="BX100" s="149"/>
      <c r="BY100" s="148">
        <f t="shared" ref="BY100:CZ100" si="479">+BY52-BX52</f>
        <v>1491522.8602166099</v>
      </c>
      <c r="BZ100" s="148">
        <f t="shared" si="479"/>
        <v>-71068.989336510655</v>
      </c>
      <c r="CA100" s="148">
        <f t="shared" si="479"/>
        <v>-59460.859740099637</v>
      </c>
      <c r="CB100" s="148">
        <f t="shared" si="479"/>
        <v>2831.4695677997079</v>
      </c>
      <c r="CC100" s="148">
        <f t="shared" si="479"/>
        <v>-23123.667665979825</v>
      </c>
      <c r="CD100" s="148">
        <f t="shared" si="479"/>
        <v>-7078.6737753001507</v>
      </c>
      <c r="CE100" s="148">
        <f t="shared" si="479"/>
        <v>-18404.551815780113</v>
      </c>
      <c r="CF100" s="148">
        <f t="shared" si="479"/>
        <v>10382.054814260919</v>
      </c>
      <c r="CG100" s="148">
        <f t="shared" si="479"/>
        <v>-2359.5579810801428</v>
      </c>
      <c r="CH100" s="148">
        <f t="shared" si="479"/>
        <v>-25955.137118919985</v>
      </c>
      <c r="CI100" s="148">
        <f t="shared" si="479"/>
        <v>11325.878040000098</v>
      </c>
      <c r="CJ100" s="148">
        <f t="shared" si="479"/>
        <v>-36337.192044999916</v>
      </c>
      <c r="CK100" s="148">
        <f t="shared" si="479"/>
        <v>-13685.435965004144</v>
      </c>
      <c r="CL100" s="148">
        <f t="shared" si="479"/>
        <v>1887.8953840413596</v>
      </c>
      <c r="CM100" s="148">
        <f t="shared" si="479"/>
        <v>-34449.794437280856</v>
      </c>
      <c r="CN100" s="148">
        <f t="shared" si="479"/>
        <v>-22651.756391757866</v>
      </c>
      <c r="CO100" s="148">
        <f t="shared" si="479"/>
        <v>18404.551814999897</v>
      </c>
      <c r="CP100" s="148">
        <f t="shared" si="479"/>
        <v>91078.935904999962</v>
      </c>
      <c r="CQ100" s="148">
        <f t="shared" si="479"/>
        <v>-8.3837658166885376E-6</v>
      </c>
      <c r="CR100" s="148">
        <f t="shared" si="479"/>
        <v>6134.8506133838091</v>
      </c>
      <c r="CS100" s="148">
        <f t="shared" si="479"/>
        <v>0.11992500140331686</v>
      </c>
      <c r="CT100" s="148">
        <f t="shared" si="479"/>
        <v>0</v>
      </c>
      <c r="CU100" s="148">
        <f t="shared" si="479"/>
        <v>0</v>
      </c>
      <c r="CV100" s="148">
        <f t="shared" si="479"/>
        <v>0</v>
      </c>
      <c r="CW100" s="148">
        <f t="shared" si="479"/>
        <v>0</v>
      </c>
      <c r="CX100" s="148">
        <f t="shared" si="479"/>
        <v>0</v>
      </c>
      <c r="CY100" s="148">
        <f t="shared" si="479"/>
        <v>0</v>
      </c>
      <c r="CZ100" s="148">
        <f t="shared" si="479"/>
        <v>0</v>
      </c>
      <c r="DA100" s="55">
        <f t="shared" ref="DA100:DP100" si="480">+DA98*DA99</f>
        <v>0</v>
      </c>
      <c r="DB100" s="55">
        <f t="shared" si="480"/>
        <v>0</v>
      </c>
      <c r="DC100" s="55">
        <f t="shared" si="480"/>
        <v>0</v>
      </c>
      <c r="DD100" s="55">
        <f t="shared" si="480"/>
        <v>0</v>
      </c>
      <c r="DE100" s="55">
        <f t="shared" si="480"/>
        <v>0</v>
      </c>
      <c r="DF100" s="55">
        <f t="shared" si="480"/>
        <v>0</v>
      </c>
      <c r="DG100" s="55">
        <f t="shared" si="480"/>
        <v>0</v>
      </c>
      <c r="DH100" s="55">
        <f t="shared" si="480"/>
        <v>0</v>
      </c>
      <c r="DI100" s="55">
        <f t="shared" si="480"/>
        <v>0</v>
      </c>
      <c r="DJ100" s="55">
        <f t="shared" si="480"/>
        <v>0</v>
      </c>
      <c r="DK100" s="55">
        <f t="shared" si="480"/>
        <v>0</v>
      </c>
      <c r="DL100" s="55">
        <f t="shared" si="480"/>
        <v>0</v>
      </c>
      <c r="DM100" s="55">
        <f t="shared" si="480"/>
        <v>0</v>
      </c>
      <c r="DN100" s="55">
        <f t="shared" si="480"/>
        <v>0</v>
      </c>
      <c r="DO100" s="55">
        <f t="shared" si="480"/>
        <v>0</v>
      </c>
      <c r="DP100" s="55">
        <f t="shared" si="480"/>
        <v>0</v>
      </c>
      <c r="DQ100" s="55">
        <f t="shared" ref="DQ100:DT100" si="481">+DQ98*DQ99</f>
        <v>0</v>
      </c>
      <c r="DR100" s="55">
        <f t="shared" si="481"/>
        <v>0</v>
      </c>
      <c r="DS100" s="55">
        <f t="shared" si="481"/>
        <v>0</v>
      </c>
      <c r="DT100" s="55">
        <f t="shared" si="481"/>
        <v>0</v>
      </c>
      <c r="DU100" s="55">
        <f t="shared" ref="DU100:DX100" si="482">+DU98*DU99</f>
        <v>0</v>
      </c>
      <c r="DV100" s="55">
        <f t="shared" si="482"/>
        <v>0</v>
      </c>
      <c r="DW100" s="55">
        <f t="shared" si="482"/>
        <v>0</v>
      </c>
      <c r="DX100" s="55">
        <f t="shared" si="482"/>
        <v>0</v>
      </c>
    </row>
    <row r="101" spans="1:128" s="31" customFormat="1">
      <c r="A101" s="154"/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2"/>
      <c r="R101" s="152"/>
      <c r="S101" s="152"/>
      <c r="T101" s="234"/>
      <c r="U101" s="151"/>
      <c r="V101" s="151"/>
      <c r="W101" s="151"/>
      <c r="X101" s="151"/>
      <c r="Y101" s="151"/>
      <c r="Z101" s="151"/>
      <c r="AB101" s="150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</row>
    <row r="102" spans="1:128" s="31" customFormat="1">
      <c r="A102" s="160" t="s">
        <v>159</v>
      </c>
      <c r="B102" s="153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  <c r="M102" s="153"/>
      <c r="N102" s="153"/>
      <c r="O102" s="153"/>
      <c r="P102" s="153"/>
      <c r="Q102" s="152"/>
      <c r="R102" s="152"/>
      <c r="S102" s="152"/>
      <c r="T102" s="234"/>
      <c r="U102" s="151"/>
      <c r="V102" s="151"/>
      <c r="W102" s="151"/>
      <c r="X102" s="151"/>
      <c r="Y102" s="151"/>
      <c r="Z102" s="151"/>
      <c r="AB102" s="160" t="s">
        <v>159</v>
      </c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</row>
    <row r="103" spans="1:128" s="31" customFormat="1">
      <c r="A103" s="154" t="s">
        <v>158</v>
      </c>
      <c r="B103" s="153"/>
      <c r="C103" s="153"/>
      <c r="D103" s="153"/>
      <c r="E103" s="153"/>
      <c r="F103" s="153"/>
      <c r="G103" s="153"/>
      <c r="H103" s="56">
        <f>+SUM(BA103:BD103)</f>
        <v>0</v>
      </c>
      <c r="I103" s="56">
        <f>+SUM(BE103:BH103)</f>
        <v>0</v>
      </c>
      <c r="J103" s="56">
        <f>+SUM(BI103:BL103)</f>
        <v>0</v>
      </c>
      <c r="K103" s="56">
        <f>+SUM(BM103:BP103)</f>
        <v>0</v>
      </c>
      <c r="L103" s="56">
        <f>+SUM(BQ103:BT103)</f>
        <v>0</v>
      </c>
      <c r="M103" s="56">
        <f>+SUM(BU103:BX103)</f>
        <v>0</v>
      </c>
      <c r="N103" s="56">
        <f>+SUM(BY103:CB103)</f>
        <v>0</v>
      </c>
      <c r="O103" s="56">
        <f>+SUM(CC103:CF103)</f>
        <v>0</v>
      </c>
      <c r="P103" s="56">
        <f>+SUM(CG103:CJ103)</f>
        <v>0</v>
      </c>
      <c r="Q103" s="58">
        <f>+SUM(CK103:CN103)</f>
        <v>0</v>
      </c>
      <c r="R103" s="58">
        <f>+SUM(CL103:CR103)</f>
        <v>0</v>
      </c>
      <c r="S103" s="58">
        <f>+SUM(CS103:CV103)</f>
        <v>0</v>
      </c>
      <c r="T103" s="56">
        <f ca="1">+SUM(CW103:CZ103)</f>
        <v>0</v>
      </c>
      <c r="U103" s="55">
        <f>+SUM(DA103:DD103)</f>
        <v>0</v>
      </c>
      <c r="V103" s="55">
        <f>+SUM(DE103:DH103)</f>
        <v>0</v>
      </c>
      <c r="W103" s="55">
        <f>+SUM(DI103:DL103)</f>
        <v>0</v>
      </c>
      <c r="X103" s="55">
        <f>+SUM(DM103:DP103)</f>
        <v>0</v>
      </c>
      <c r="Y103" s="55">
        <f>+SUM(DQ103:DT103)</f>
        <v>0</v>
      </c>
      <c r="Z103" s="55">
        <f>+SUM(DU103:DX103)</f>
        <v>0</v>
      </c>
      <c r="AB103" s="154" t="s">
        <v>158</v>
      </c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8">
        <f t="shared" ref="BY103:CZ103" si="483">IF(BY109-BX109&lt;0,-BY109+BX109,0)</f>
        <v>0</v>
      </c>
      <c r="BZ103" s="148">
        <f t="shared" si="483"/>
        <v>0</v>
      </c>
      <c r="CA103" s="148">
        <f t="shared" si="483"/>
        <v>0</v>
      </c>
      <c r="CB103" s="148">
        <f t="shared" si="483"/>
        <v>0</v>
      </c>
      <c r="CC103" s="148">
        <f t="shared" si="483"/>
        <v>0</v>
      </c>
      <c r="CD103" s="148">
        <f t="shared" si="483"/>
        <v>0</v>
      </c>
      <c r="CE103" s="148">
        <f t="shared" si="483"/>
        <v>0</v>
      </c>
      <c r="CF103" s="148">
        <f t="shared" si="483"/>
        <v>0</v>
      </c>
      <c r="CG103" s="148">
        <f t="shared" si="483"/>
        <v>0</v>
      </c>
      <c r="CH103" s="148">
        <f t="shared" si="483"/>
        <v>0</v>
      </c>
      <c r="CI103" s="148">
        <f t="shared" si="483"/>
        <v>0</v>
      </c>
      <c r="CJ103" s="148">
        <f t="shared" si="483"/>
        <v>0</v>
      </c>
      <c r="CK103" s="148">
        <f t="shared" si="483"/>
        <v>0</v>
      </c>
      <c r="CL103" s="148">
        <f t="shared" si="483"/>
        <v>0</v>
      </c>
      <c r="CM103" s="148">
        <f t="shared" si="483"/>
        <v>0</v>
      </c>
      <c r="CN103" s="148">
        <f t="shared" si="483"/>
        <v>0</v>
      </c>
      <c r="CO103" s="148">
        <f t="shared" si="483"/>
        <v>0</v>
      </c>
      <c r="CP103" s="148">
        <f t="shared" si="483"/>
        <v>0</v>
      </c>
      <c r="CQ103" s="148">
        <f t="shared" si="483"/>
        <v>0</v>
      </c>
      <c r="CR103" s="148">
        <f t="shared" si="483"/>
        <v>0</v>
      </c>
      <c r="CS103" s="148">
        <f t="shared" si="483"/>
        <v>0</v>
      </c>
      <c r="CT103" s="148">
        <f t="shared" si="483"/>
        <v>0</v>
      </c>
      <c r="CU103" s="148">
        <f t="shared" si="483"/>
        <v>0</v>
      </c>
      <c r="CV103" s="148">
        <f t="shared" si="483"/>
        <v>0</v>
      </c>
      <c r="CW103" s="148">
        <f t="shared" si="483"/>
        <v>0</v>
      </c>
      <c r="CX103" s="148">
        <f t="shared" si="483"/>
        <v>0</v>
      </c>
      <c r="CY103" s="148">
        <f t="shared" si="483"/>
        <v>0</v>
      </c>
      <c r="CZ103" s="148">
        <f t="shared" ca="1" si="483"/>
        <v>0</v>
      </c>
      <c r="DA103" s="55">
        <v>0</v>
      </c>
      <c r="DB103" s="55">
        <v>0</v>
      </c>
      <c r="DC103" s="55">
        <v>0</v>
      </c>
      <c r="DD103" s="55">
        <v>0</v>
      </c>
      <c r="DE103" s="55">
        <v>0</v>
      </c>
      <c r="DF103" s="55">
        <v>0</v>
      </c>
      <c r="DG103" s="55">
        <v>0</v>
      </c>
      <c r="DH103" s="55">
        <v>0</v>
      </c>
      <c r="DI103" s="55">
        <v>0</v>
      </c>
      <c r="DJ103" s="55">
        <v>0</v>
      </c>
      <c r="DK103" s="55">
        <v>0</v>
      </c>
      <c r="DL103" s="55">
        <v>0</v>
      </c>
      <c r="DM103" s="55">
        <v>0</v>
      </c>
      <c r="DN103" s="55">
        <v>0</v>
      </c>
      <c r="DO103" s="55">
        <v>0</v>
      </c>
      <c r="DP103" s="55">
        <v>0</v>
      </c>
      <c r="DQ103" s="55">
        <v>0</v>
      </c>
      <c r="DR103" s="55">
        <v>0</v>
      </c>
      <c r="DS103" s="55">
        <v>0</v>
      </c>
      <c r="DT103" s="55">
        <v>0</v>
      </c>
      <c r="DU103" s="55">
        <v>0</v>
      </c>
      <c r="DV103" s="55">
        <v>0</v>
      </c>
      <c r="DW103" s="55">
        <v>0</v>
      </c>
      <c r="DX103" s="55">
        <v>0</v>
      </c>
    </row>
    <row r="104" spans="1:128" s="31" customFormat="1">
      <c r="A104" s="154" t="s">
        <v>157</v>
      </c>
      <c r="B104" s="153"/>
      <c r="C104" s="153"/>
      <c r="D104" s="153"/>
      <c r="E104" s="153"/>
      <c r="F104" s="153"/>
      <c r="G104" s="153"/>
      <c r="H104" s="159" t="e">
        <f t="shared" ref="H104:X104" si="484">-H106/H103</f>
        <v>#DIV/0!</v>
      </c>
      <c r="I104" s="159" t="e">
        <f t="shared" si="484"/>
        <v>#DIV/0!</v>
      </c>
      <c r="J104" s="159" t="e">
        <f t="shared" si="484"/>
        <v>#DIV/0!</v>
      </c>
      <c r="K104" s="159" t="e">
        <f t="shared" si="484"/>
        <v>#DIV/0!</v>
      </c>
      <c r="L104" s="159" t="e">
        <f t="shared" si="484"/>
        <v>#DIV/0!</v>
      </c>
      <c r="M104" s="153" t="e">
        <f t="shared" si="484"/>
        <v>#DIV/0!</v>
      </c>
      <c r="N104" s="153" t="e">
        <f t="shared" si="484"/>
        <v>#DIV/0!</v>
      </c>
      <c r="O104" s="153" t="e">
        <f t="shared" si="484"/>
        <v>#DIV/0!</v>
      </c>
      <c r="P104" s="153" t="e">
        <f t="shared" si="484"/>
        <v>#DIV/0!</v>
      </c>
      <c r="Q104" s="152" t="e">
        <f t="shared" si="484"/>
        <v>#DIV/0!</v>
      </c>
      <c r="R104" s="152" t="e">
        <f t="shared" si="484"/>
        <v>#DIV/0!</v>
      </c>
      <c r="S104" s="152" t="e">
        <f t="shared" si="484"/>
        <v>#DIV/0!</v>
      </c>
      <c r="T104" s="234" t="e">
        <f t="shared" ca="1" si="484"/>
        <v>#DIV/0!</v>
      </c>
      <c r="U104" s="151" t="e">
        <f t="shared" si="484"/>
        <v>#DIV/0!</v>
      </c>
      <c r="V104" s="151" t="e">
        <f t="shared" si="484"/>
        <v>#DIV/0!</v>
      </c>
      <c r="W104" s="151" t="e">
        <f t="shared" si="484"/>
        <v>#DIV/0!</v>
      </c>
      <c r="X104" s="151" t="e">
        <f t="shared" si="484"/>
        <v>#DIV/0!</v>
      </c>
      <c r="Y104" s="151" t="e">
        <f t="shared" ref="Y104:Z104" si="485">-Y106/Y103</f>
        <v>#DIV/0!</v>
      </c>
      <c r="Z104" s="151" t="e">
        <f t="shared" si="485"/>
        <v>#DIV/0!</v>
      </c>
      <c r="AB104" s="154" t="s">
        <v>157</v>
      </c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58" t="e">
        <f t="shared" ref="BY104:CO104" si="486">-BY106/BY103</f>
        <v>#DIV/0!</v>
      </c>
      <c r="BZ104" s="158" t="e">
        <f t="shared" si="486"/>
        <v>#DIV/0!</v>
      </c>
      <c r="CA104" s="158" t="e">
        <f t="shared" si="486"/>
        <v>#DIV/0!</v>
      </c>
      <c r="CB104" s="158" t="e">
        <f t="shared" si="486"/>
        <v>#DIV/0!</v>
      </c>
      <c r="CC104" s="158" t="e">
        <f t="shared" si="486"/>
        <v>#DIV/0!</v>
      </c>
      <c r="CD104" s="158" t="e">
        <f t="shared" si="486"/>
        <v>#DIV/0!</v>
      </c>
      <c r="CE104" s="158" t="e">
        <f t="shared" si="486"/>
        <v>#DIV/0!</v>
      </c>
      <c r="CF104" s="158" t="e">
        <f t="shared" si="486"/>
        <v>#DIV/0!</v>
      </c>
      <c r="CG104" s="158" t="e">
        <f t="shared" si="486"/>
        <v>#DIV/0!</v>
      </c>
      <c r="CH104" s="158" t="e">
        <f t="shared" si="486"/>
        <v>#DIV/0!</v>
      </c>
      <c r="CI104" s="158" t="e">
        <f t="shared" si="486"/>
        <v>#DIV/0!</v>
      </c>
      <c r="CJ104" s="158" t="e">
        <f t="shared" si="486"/>
        <v>#DIV/0!</v>
      </c>
      <c r="CK104" s="158" t="e">
        <f t="shared" si="486"/>
        <v>#DIV/0!</v>
      </c>
      <c r="CL104" s="158" t="e">
        <f t="shared" si="486"/>
        <v>#DIV/0!</v>
      </c>
      <c r="CM104" s="158" t="e">
        <f t="shared" si="486"/>
        <v>#DIV/0!</v>
      </c>
      <c r="CN104" s="158" t="e">
        <f t="shared" si="486"/>
        <v>#DIV/0!</v>
      </c>
      <c r="CO104" s="158" t="e">
        <f t="shared" si="486"/>
        <v>#DIV/0!</v>
      </c>
      <c r="CP104" s="158" t="e">
        <f t="shared" ref="CP104:CQ104" si="487">-CP106/CP103</f>
        <v>#DIV/0!</v>
      </c>
      <c r="CQ104" s="158" t="e">
        <f t="shared" si="487"/>
        <v>#DIV/0!</v>
      </c>
      <c r="CR104" s="158" t="e">
        <f t="shared" ref="CR104:CS104" si="488">-CR106/CR103</f>
        <v>#DIV/0!</v>
      </c>
      <c r="CS104" s="158" t="e">
        <f t="shared" si="488"/>
        <v>#DIV/0!</v>
      </c>
      <c r="CT104" s="158" t="e">
        <f t="shared" ref="CT104:CU104" si="489">-CT106/CT103</f>
        <v>#DIV/0!</v>
      </c>
      <c r="CU104" s="158" t="e">
        <f t="shared" si="489"/>
        <v>#DIV/0!</v>
      </c>
      <c r="CV104" s="158" t="e">
        <f t="shared" ref="CV104:CW104" si="490">-CV106/CV103</f>
        <v>#DIV/0!</v>
      </c>
      <c r="CW104" s="158" t="e">
        <f t="shared" si="490"/>
        <v>#DIV/0!</v>
      </c>
      <c r="CX104" s="158" t="e">
        <f t="shared" ref="CX104:CY104" si="491">-CX106/CX103</f>
        <v>#DIV/0!</v>
      </c>
      <c r="CY104" s="158" t="e">
        <f t="shared" si="491"/>
        <v>#DIV/0!</v>
      </c>
      <c r="CZ104" s="158" t="e">
        <f t="shared" ref="CZ104" ca="1" si="492">-CZ106/CZ103</f>
        <v>#DIV/0!</v>
      </c>
      <c r="DA104" s="157">
        <v>0</v>
      </c>
      <c r="DB104" s="157">
        <v>0</v>
      </c>
      <c r="DC104" s="157">
        <v>0</v>
      </c>
      <c r="DD104" s="157">
        <v>0</v>
      </c>
      <c r="DE104" s="157">
        <v>0</v>
      </c>
      <c r="DF104" s="157">
        <v>0</v>
      </c>
      <c r="DG104" s="157">
        <v>0</v>
      </c>
      <c r="DH104" s="157">
        <v>0</v>
      </c>
      <c r="DI104" s="157">
        <v>0</v>
      </c>
      <c r="DJ104" s="157">
        <v>0</v>
      </c>
      <c r="DK104" s="157">
        <v>0</v>
      </c>
      <c r="DL104" s="157">
        <v>0</v>
      </c>
      <c r="DM104" s="157">
        <v>0</v>
      </c>
      <c r="DN104" s="157">
        <v>0</v>
      </c>
      <c r="DO104" s="157">
        <v>0</v>
      </c>
      <c r="DP104" s="157">
        <v>0</v>
      </c>
      <c r="DQ104" s="157">
        <v>0</v>
      </c>
      <c r="DR104" s="157">
        <v>0</v>
      </c>
      <c r="DS104" s="157">
        <v>0</v>
      </c>
      <c r="DT104" s="157">
        <v>0</v>
      </c>
      <c r="DU104" s="157">
        <v>0</v>
      </c>
      <c r="DV104" s="157">
        <v>0</v>
      </c>
      <c r="DW104" s="157">
        <v>0</v>
      </c>
      <c r="DX104" s="157">
        <v>0</v>
      </c>
    </row>
    <row r="105" spans="1:128" s="31" customFormat="1">
      <c r="A105" s="154" t="s">
        <v>156</v>
      </c>
      <c r="B105" s="153"/>
      <c r="C105" s="153"/>
      <c r="D105" s="153"/>
      <c r="E105" s="153"/>
      <c r="F105" s="153"/>
      <c r="G105" s="153"/>
      <c r="H105" s="56">
        <f>+BD105</f>
        <v>0</v>
      </c>
      <c r="I105" s="56">
        <f>+BH105</f>
        <v>0</v>
      </c>
      <c r="J105" s="56">
        <f>+BL105</f>
        <v>0</v>
      </c>
      <c r="K105" s="56">
        <f>+BP105</f>
        <v>0</v>
      </c>
      <c r="L105" s="56">
        <f>+BT105</f>
        <v>0</v>
      </c>
      <c r="M105" s="56">
        <f>+BX105</f>
        <v>0</v>
      </c>
      <c r="N105" s="56">
        <f>+CB105</f>
        <v>-214112.84649999999</v>
      </c>
      <c r="O105" s="56">
        <f>+CF105</f>
        <v>-208221.17811429</v>
      </c>
      <c r="P105" s="56">
        <f>+CJ105</f>
        <v>-207634.47568319002</v>
      </c>
      <c r="Q105" s="58">
        <f>+CN105</f>
        <v>-193889.23879001997</v>
      </c>
      <c r="R105" s="58">
        <f>+CR105</f>
        <v>-207159.14564618</v>
      </c>
      <c r="S105" s="58">
        <f>+CV105</f>
        <v>-208305</v>
      </c>
      <c r="T105" s="56">
        <f>+CZ105</f>
        <v>-208727</v>
      </c>
      <c r="U105" s="55">
        <f>+DD105</f>
        <v>-208978</v>
      </c>
      <c r="V105" s="55">
        <f>+DH105</f>
        <v>-208978</v>
      </c>
      <c r="W105" s="55">
        <f>+DL105</f>
        <v>-208978</v>
      </c>
      <c r="X105" s="55">
        <f>+DP105</f>
        <v>-208978</v>
      </c>
      <c r="Y105" s="55">
        <f>+DT105</f>
        <v>-208978</v>
      </c>
      <c r="Z105" s="55">
        <f>+DX105</f>
        <v>-208978</v>
      </c>
      <c r="AB105" s="154" t="s">
        <v>156</v>
      </c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  <c r="BM105" s="149"/>
      <c r="BN105" s="149"/>
      <c r="BO105" s="149"/>
      <c r="BP105" s="149"/>
      <c r="BQ105" s="149"/>
      <c r="BR105" s="149"/>
      <c r="BS105" s="149"/>
      <c r="BT105" s="149"/>
      <c r="BU105" s="149"/>
      <c r="BV105" s="149"/>
      <c r="BW105" s="149"/>
      <c r="BX105" s="149"/>
      <c r="BY105" s="148">
        <f t="shared" ref="BY105:CN105" si="493">BX107</f>
        <v>0</v>
      </c>
      <c r="BZ105" s="148">
        <f t="shared" si="493"/>
        <v>-231090.04162500001</v>
      </c>
      <c r="CA105" s="148">
        <f t="shared" si="493"/>
        <v>-220050.94124999997</v>
      </c>
      <c r="CB105" s="148">
        <f t="shared" si="493"/>
        <v>-214112.84649999999</v>
      </c>
      <c r="CC105" s="148">
        <f t="shared" si="493"/>
        <v>-214558.29625000001</v>
      </c>
      <c r="CD105" s="148">
        <f t="shared" si="493"/>
        <v>-213330.448515</v>
      </c>
      <c r="CE105" s="148">
        <f t="shared" si="493"/>
        <v>-211134.92979942</v>
      </c>
      <c r="CF105" s="148">
        <f t="shared" si="493"/>
        <v>-208221.17811429</v>
      </c>
      <c r="CG105" s="148">
        <f t="shared" si="493"/>
        <v>-209864.83291103001</v>
      </c>
      <c r="CH105" s="148">
        <f t="shared" si="493"/>
        <v>-211016.51556947999</v>
      </c>
      <c r="CI105" s="148">
        <f t="shared" si="493"/>
        <v>-205837.42288247004</v>
      </c>
      <c r="CJ105" s="148">
        <f t="shared" si="493"/>
        <v>-207634.47568319002</v>
      </c>
      <c r="CK105" s="148">
        <f t="shared" si="493"/>
        <v>-201868.93128088003</v>
      </c>
      <c r="CL105" s="148">
        <f t="shared" si="493"/>
        <v>-199153.47413954997</v>
      </c>
      <c r="CM105" s="148">
        <f t="shared" si="493"/>
        <v>-199337.24280528998</v>
      </c>
      <c r="CN105" s="148">
        <f t="shared" si="493"/>
        <v>-193889.23879001997</v>
      </c>
      <c r="CO105" s="148">
        <f t="shared" ref="CO105:CZ105" si="494">CN107</f>
        <v>-190306.98959999997</v>
      </c>
      <c r="CP105" s="148">
        <f t="shared" si="494"/>
        <v>-193937.77078437002</v>
      </c>
      <c r="CQ105" s="148">
        <f t="shared" si="494"/>
        <v>-207159.14564618</v>
      </c>
      <c r="CR105" s="148">
        <f t="shared" si="494"/>
        <v>-207159.14564618</v>
      </c>
      <c r="CS105" s="148">
        <f t="shared" si="494"/>
        <v>-208127.17903704999</v>
      </c>
      <c r="CT105" s="148">
        <f t="shared" si="494"/>
        <v>-207444</v>
      </c>
      <c r="CU105" s="148">
        <f t="shared" si="494"/>
        <v>-208176</v>
      </c>
      <c r="CV105" s="148">
        <f t="shared" si="494"/>
        <v>-208305</v>
      </c>
      <c r="CW105" s="148">
        <f t="shared" si="494"/>
        <v>-208184</v>
      </c>
      <c r="CX105" s="148">
        <f t="shared" si="494"/>
        <v>-209671</v>
      </c>
      <c r="CY105" s="148">
        <f t="shared" si="494"/>
        <v>-208667</v>
      </c>
      <c r="CZ105" s="148">
        <f t="shared" si="494"/>
        <v>-208727</v>
      </c>
      <c r="DA105" s="156">
        <f t="shared" ref="DA105" si="495">CZ107</f>
        <v>-208978</v>
      </c>
      <c r="DB105" s="156">
        <f t="shared" ref="DB105" si="496">DA107</f>
        <v>-208978</v>
      </c>
      <c r="DC105" s="156">
        <f t="shared" ref="DC105" si="497">DB107</f>
        <v>-208978</v>
      </c>
      <c r="DD105" s="156">
        <f t="shared" ref="DD105" si="498">DC107</f>
        <v>-208978</v>
      </c>
      <c r="DE105" s="156">
        <f t="shared" ref="DE105" si="499">DD107</f>
        <v>-208978</v>
      </c>
      <c r="DF105" s="156">
        <f t="shared" ref="DF105" si="500">DE107</f>
        <v>-208978</v>
      </c>
      <c r="DG105" s="156">
        <f t="shared" ref="DG105" si="501">DF107</f>
        <v>-208978</v>
      </c>
      <c r="DH105" s="156">
        <f t="shared" ref="DH105" si="502">DG107</f>
        <v>-208978</v>
      </c>
      <c r="DI105" s="156">
        <f t="shared" ref="DI105" si="503">DH107</f>
        <v>-208978</v>
      </c>
      <c r="DJ105" s="156">
        <f t="shared" ref="DJ105" si="504">DI107</f>
        <v>-208978</v>
      </c>
      <c r="DK105" s="156">
        <f t="shared" ref="DK105" si="505">DJ107</f>
        <v>-208978</v>
      </c>
      <c r="DL105" s="156">
        <f t="shared" ref="DL105" si="506">DK107</f>
        <v>-208978</v>
      </c>
      <c r="DM105" s="156">
        <f t="shared" ref="DM105" si="507">DL107</f>
        <v>-208978</v>
      </c>
      <c r="DN105" s="156">
        <f t="shared" ref="DN105" si="508">DM107</f>
        <v>-208978</v>
      </c>
      <c r="DO105" s="156">
        <f t="shared" ref="DO105" si="509">DN107</f>
        <v>-208978</v>
      </c>
      <c r="DP105" s="156">
        <f t="shared" ref="DP105" si="510">DO107</f>
        <v>-208978</v>
      </c>
      <c r="DQ105" s="156">
        <f t="shared" ref="DQ105" si="511">DP107</f>
        <v>-208978</v>
      </c>
      <c r="DR105" s="156">
        <f t="shared" ref="DR105" si="512">DQ107</f>
        <v>-208978</v>
      </c>
      <c r="DS105" s="156">
        <f t="shared" ref="DS105" si="513">DR107</f>
        <v>-208978</v>
      </c>
      <c r="DT105" s="156">
        <f t="shared" ref="DT105" si="514">DS107</f>
        <v>-208978</v>
      </c>
      <c r="DU105" s="156">
        <f t="shared" ref="DU105" si="515">DT107</f>
        <v>-208978</v>
      </c>
      <c r="DV105" s="156">
        <f t="shared" ref="DV105" si="516">DU107</f>
        <v>-208978</v>
      </c>
      <c r="DW105" s="156">
        <f t="shared" ref="DW105" si="517">DV107</f>
        <v>-208978</v>
      </c>
      <c r="DX105" s="156">
        <f t="shared" ref="DX105" si="518">DW107</f>
        <v>-208978</v>
      </c>
    </row>
    <row r="106" spans="1:128" s="31" customFormat="1">
      <c r="A106" s="154" t="s">
        <v>155</v>
      </c>
      <c r="B106" s="153"/>
      <c r="C106" s="153"/>
      <c r="D106" s="153"/>
      <c r="E106" s="153"/>
      <c r="F106" s="153"/>
      <c r="G106" s="153"/>
      <c r="H106" s="56">
        <f>+SUM(BA106:BD106)</f>
        <v>0</v>
      </c>
      <c r="I106" s="56">
        <f>+SUM(BE106:BH106)</f>
        <v>0</v>
      </c>
      <c r="J106" s="56">
        <f>+SUM(BI106:BL106)</f>
        <v>0</v>
      </c>
      <c r="K106" s="56">
        <f>+SUM(BM106:BP106)</f>
        <v>0</v>
      </c>
      <c r="L106" s="56">
        <f>+SUM(BQ106:BT106)</f>
        <v>0</v>
      </c>
      <c r="M106" s="56">
        <f>+SUM(BU106:BX106)</f>
        <v>0</v>
      </c>
      <c r="N106" s="56">
        <f>+SUM(BY106:CB106)</f>
        <v>-214558.29625000001</v>
      </c>
      <c r="O106" s="56">
        <f>+SUM(CC106:CF106)</f>
        <v>4693.463338970003</v>
      </c>
      <c r="P106" s="56">
        <f>+SUM(CG106:CJ106)</f>
        <v>7995.9016301499796</v>
      </c>
      <c r="Q106" s="58">
        <f>+SUM(CK106:CN106)</f>
        <v>11561.94168088006</v>
      </c>
      <c r="R106" s="58">
        <f>+SUM(CL106:CR106)</f>
        <v>-8973.7048975000216</v>
      </c>
      <c r="S106" s="58">
        <f>+SUM(CS106:CV106)</f>
        <v>-56.820962950005196</v>
      </c>
      <c r="T106" s="56">
        <f>+SUM(CW106:CZ106)</f>
        <v>-794</v>
      </c>
      <c r="U106" s="55">
        <f>+SUM(DA106:DD106)</f>
        <v>0</v>
      </c>
      <c r="V106" s="55">
        <f>+SUM(DE106:DH106)</f>
        <v>0</v>
      </c>
      <c r="W106" s="55">
        <f>+SUM(DI106:DL106)</f>
        <v>0</v>
      </c>
      <c r="X106" s="55">
        <f>+SUM(DM106:DP106)</f>
        <v>0</v>
      </c>
      <c r="Y106" s="55">
        <f>+SUM(DQ106:DT106)</f>
        <v>0</v>
      </c>
      <c r="Z106" s="55">
        <f>+SUM(DU106:DX106)</f>
        <v>0</v>
      </c>
      <c r="AB106" s="154" t="s">
        <v>155</v>
      </c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49"/>
      <c r="BT106" s="149"/>
      <c r="BU106" s="149"/>
      <c r="BV106" s="149"/>
      <c r="BW106" s="149"/>
      <c r="BX106" s="149"/>
      <c r="BY106" s="148">
        <f t="shared" ref="BY106:CO106" si="519">+BY107-BY105</f>
        <v>-231090.04162500001</v>
      </c>
      <c r="BZ106" s="148">
        <f t="shared" si="519"/>
        <v>11039.100375000038</v>
      </c>
      <c r="CA106" s="148">
        <f t="shared" si="519"/>
        <v>5938.0947499999893</v>
      </c>
      <c r="CB106" s="148">
        <f t="shared" si="519"/>
        <v>-445.44975000002887</v>
      </c>
      <c r="CC106" s="148">
        <f t="shared" si="519"/>
        <v>1227.8477350000176</v>
      </c>
      <c r="CD106" s="148">
        <f t="shared" si="519"/>
        <v>2195.518715579994</v>
      </c>
      <c r="CE106" s="148">
        <f t="shared" si="519"/>
        <v>2913.7516851300024</v>
      </c>
      <c r="CF106" s="148">
        <f t="shared" si="519"/>
        <v>-1643.6547967400111</v>
      </c>
      <c r="CG106" s="148">
        <f t="shared" si="519"/>
        <v>-1151.6826584499795</v>
      </c>
      <c r="CH106" s="148">
        <f t="shared" si="519"/>
        <v>5179.0926870099502</v>
      </c>
      <c r="CI106" s="148">
        <f t="shared" si="519"/>
        <v>-1797.0528007199755</v>
      </c>
      <c r="CJ106" s="148">
        <f t="shared" si="519"/>
        <v>5765.5444023099844</v>
      </c>
      <c r="CK106" s="148">
        <f t="shared" si="519"/>
        <v>2715.4571413300582</v>
      </c>
      <c r="CL106" s="148">
        <f t="shared" si="519"/>
        <v>-183.76866574000451</v>
      </c>
      <c r="CM106" s="148">
        <f t="shared" si="519"/>
        <v>5448.0040152700094</v>
      </c>
      <c r="CN106" s="148">
        <f t="shared" si="519"/>
        <v>3582.2491900199966</v>
      </c>
      <c r="CO106" s="148">
        <f t="shared" si="519"/>
        <v>-3630.7811843700474</v>
      </c>
      <c r="CP106" s="148">
        <f t="shared" ref="CP106:CQ106" si="520">+CP107-CP105</f>
        <v>-13221.374861809978</v>
      </c>
      <c r="CQ106" s="148">
        <f t="shared" si="520"/>
        <v>0</v>
      </c>
      <c r="CR106" s="148">
        <f t="shared" ref="CR106:CS106" si="521">+CR107-CR105</f>
        <v>-968.03339086999767</v>
      </c>
      <c r="CS106" s="148">
        <f t="shared" si="521"/>
        <v>683.1790370499948</v>
      </c>
      <c r="CT106" s="148">
        <f t="shared" ref="CT106:CU106" si="522">+CT107-CT105</f>
        <v>-732</v>
      </c>
      <c r="CU106" s="148">
        <f t="shared" si="522"/>
        <v>-129</v>
      </c>
      <c r="CV106" s="148">
        <f t="shared" ref="CV106:CW106" si="523">+CV107-CV105</f>
        <v>121</v>
      </c>
      <c r="CW106" s="148">
        <f t="shared" si="523"/>
        <v>-1487</v>
      </c>
      <c r="CX106" s="148">
        <f t="shared" ref="CX106:CY106" si="524">+CX107-CX105</f>
        <v>1004</v>
      </c>
      <c r="CY106" s="148">
        <f t="shared" si="524"/>
        <v>-60</v>
      </c>
      <c r="CZ106" s="148">
        <f t="shared" ref="CZ106" si="525">+CZ107-CZ105</f>
        <v>-251</v>
      </c>
      <c r="DA106" s="55">
        <f t="shared" ref="DA106:DP106" si="526">-DA103*DA104</f>
        <v>0</v>
      </c>
      <c r="DB106" s="55">
        <f t="shared" si="526"/>
        <v>0</v>
      </c>
      <c r="DC106" s="55">
        <f t="shared" si="526"/>
        <v>0</v>
      </c>
      <c r="DD106" s="55">
        <f t="shared" si="526"/>
        <v>0</v>
      </c>
      <c r="DE106" s="55">
        <f t="shared" si="526"/>
        <v>0</v>
      </c>
      <c r="DF106" s="55">
        <f t="shared" si="526"/>
        <v>0</v>
      </c>
      <c r="DG106" s="55">
        <f t="shared" si="526"/>
        <v>0</v>
      </c>
      <c r="DH106" s="55">
        <f t="shared" si="526"/>
        <v>0</v>
      </c>
      <c r="DI106" s="55">
        <f t="shared" si="526"/>
        <v>0</v>
      </c>
      <c r="DJ106" s="55">
        <f t="shared" si="526"/>
        <v>0</v>
      </c>
      <c r="DK106" s="55">
        <f t="shared" si="526"/>
        <v>0</v>
      </c>
      <c r="DL106" s="55">
        <f t="shared" si="526"/>
        <v>0</v>
      </c>
      <c r="DM106" s="55">
        <f t="shared" si="526"/>
        <v>0</v>
      </c>
      <c r="DN106" s="55">
        <f t="shared" si="526"/>
        <v>0</v>
      </c>
      <c r="DO106" s="55">
        <f t="shared" si="526"/>
        <v>0</v>
      </c>
      <c r="DP106" s="55">
        <f t="shared" si="526"/>
        <v>0</v>
      </c>
      <c r="DQ106" s="55">
        <f t="shared" ref="DQ106:DT106" si="527">-DQ103*DQ104</f>
        <v>0</v>
      </c>
      <c r="DR106" s="55">
        <f t="shared" si="527"/>
        <v>0</v>
      </c>
      <c r="DS106" s="55">
        <f t="shared" si="527"/>
        <v>0</v>
      </c>
      <c r="DT106" s="55">
        <f t="shared" si="527"/>
        <v>0</v>
      </c>
      <c r="DU106" s="55">
        <f t="shared" ref="DU106:DX106" si="528">-DU103*DU104</f>
        <v>0</v>
      </c>
      <c r="DV106" s="55">
        <f t="shared" si="528"/>
        <v>0</v>
      </c>
      <c r="DW106" s="55">
        <f t="shared" si="528"/>
        <v>0</v>
      </c>
      <c r="DX106" s="55">
        <f t="shared" si="528"/>
        <v>0</v>
      </c>
    </row>
    <row r="107" spans="1:128" s="31" customFormat="1">
      <c r="A107" s="154" t="s">
        <v>154</v>
      </c>
      <c r="B107" s="153"/>
      <c r="C107" s="153"/>
      <c r="D107" s="153"/>
      <c r="E107" s="153"/>
      <c r="F107" s="153"/>
      <c r="G107" s="153"/>
      <c r="H107" s="56">
        <f>+BD107</f>
        <v>0</v>
      </c>
      <c r="I107" s="56">
        <f>+BH107</f>
        <v>0</v>
      </c>
      <c r="J107" s="56">
        <f>+BL107</f>
        <v>0</v>
      </c>
      <c r="K107" s="56">
        <f>+BP107</f>
        <v>0</v>
      </c>
      <c r="L107" s="56">
        <f>+BT107</f>
        <v>0</v>
      </c>
      <c r="M107" s="56">
        <f>+BX107</f>
        <v>0</v>
      </c>
      <c r="N107" s="56">
        <f>+CB107</f>
        <v>-214558.29625000001</v>
      </c>
      <c r="O107" s="56">
        <f>+CF107</f>
        <v>-209864.83291103001</v>
      </c>
      <c r="P107" s="56">
        <f>+CJ107</f>
        <v>-201868.93128088003</v>
      </c>
      <c r="Q107" s="58">
        <f>+CN107</f>
        <v>-190306.98959999997</v>
      </c>
      <c r="R107" s="58">
        <f>+CR107</f>
        <v>-208127.17903704999</v>
      </c>
      <c r="S107" s="58">
        <f>+CV107</f>
        <v>-208184</v>
      </c>
      <c r="T107" s="56">
        <f>+CZ107</f>
        <v>-208978</v>
      </c>
      <c r="U107" s="55">
        <f>+DD107</f>
        <v>-208978</v>
      </c>
      <c r="V107" s="55">
        <f>+DH107</f>
        <v>-208978</v>
      </c>
      <c r="W107" s="55">
        <f>+DL107</f>
        <v>-208978</v>
      </c>
      <c r="X107" s="55">
        <f>+DP107</f>
        <v>-208978</v>
      </c>
      <c r="Y107" s="55">
        <f>+DT107</f>
        <v>-208978</v>
      </c>
      <c r="Z107" s="55">
        <f>+DX107</f>
        <v>-208978</v>
      </c>
      <c r="AB107" s="154" t="s">
        <v>154</v>
      </c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8">
        <f t="shared" ref="BY107:CO107" si="529">BY53</f>
        <v>-231090.04162500001</v>
      </c>
      <c r="BZ107" s="148">
        <f t="shared" si="529"/>
        <v>-220050.94124999997</v>
      </c>
      <c r="CA107" s="148">
        <f t="shared" si="529"/>
        <v>-214112.84649999999</v>
      </c>
      <c r="CB107" s="148">
        <f t="shared" si="529"/>
        <v>-214558.29625000001</v>
      </c>
      <c r="CC107" s="148">
        <f t="shared" si="529"/>
        <v>-213330.448515</v>
      </c>
      <c r="CD107" s="148">
        <f t="shared" si="529"/>
        <v>-211134.92979942</v>
      </c>
      <c r="CE107" s="148">
        <f t="shared" si="529"/>
        <v>-208221.17811429</v>
      </c>
      <c r="CF107" s="148">
        <f t="shared" si="529"/>
        <v>-209864.83291103001</v>
      </c>
      <c r="CG107" s="148">
        <f t="shared" si="529"/>
        <v>-211016.51556947999</v>
      </c>
      <c r="CH107" s="148">
        <f t="shared" si="529"/>
        <v>-205837.42288247004</v>
      </c>
      <c r="CI107" s="148">
        <f t="shared" si="529"/>
        <v>-207634.47568319002</v>
      </c>
      <c r="CJ107" s="148">
        <f t="shared" si="529"/>
        <v>-201868.93128088003</v>
      </c>
      <c r="CK107" s="148">
        <f t="shared" si="529"/>
        <v>-199153.47413954997</v>
      </c>
      <c r="CL107" s="148">
        <f t="shared" si="529"/>
        <v>-199337.24280528998</v>
      </c>
      <c r="CM107" s="148">
        <f t="shared" si="529"/>
        <v>-193889.23879001997</v>
      </c>
      <c r="CN107" s="148">
        <f t="shared" si="529"/>
        <v>-190306.98959999997</v>
      </c>
      <c r="CO107" s="148">
        <f t="shared" si="529"/>
        <v>-193937.77078437002</v>
      </c>
      <c r="CP107" s="148">
        <f t="shared" ref="CP107:CQ107" si="530">CP53</f>
        <v>-207159.14564618</v>
      </c>
      <c r="CQ107" s="148">
        <f t="shared" si="530"/>
        <v>-207159.14564618</v>
      </c>
      <c r="CR107" s="148">
        <f t="shared" ref="CR107:CS107" si="531">CR53</f>
        <v>-208127.17903704999</v>
      </c>
      <c r="CS107" s="148">
        <f t="shared" si="531"/>
        <v>-207444</v>
      </c>
      <c r="CT107" s="148">
        <f t="shared" ref="CT107:CU107" si="532">CT53</f>
        <v>-208176</v>
      </c>
      <c r="CU107" s="148">
        <f t="shared" si="532"/>
        <v>-208305</v>
      </c>
      <c r="CV107" s="148">
        <f t="shared" ref="CV107:CW107" si="533">CV53</f>
        <v>-208184</v>
      </c>
      <c r="CW107" s="148">
        <f t="shared" si="533"/>
        <v>-209671</v>
      </c>
      <c r="CX107" s="148">
        <f t="shared" ref="CX107:CY107" si="534">CX53</f>
        <v>-208667</v>
      </c>
      <c r="CY107" s="148">
        <f t="shared" si="534"/>
        <v>-208727</v>
      </c>
      <c r="CZ107" s="148">
        <f t="shared" ref="CZ107" si="535">CZ53</f>
        <v>-208978</v>
      </c>
      <c r="DA107" s="156">
        <f t="shared" ref="DA107:DP107" si="536">+DA105+DA106</f>
        <v>-208978</v>
      </c>
      <c r="DB107" s="156">
        <f t="shared" si="536"/>
        <v>-208978</v>
      </c>
      <c r="DC107" s="156">
        <f t="shared" si="536"/>
        <v>-208978</v>
      </c>
      <c r="DD107" s="156">
        <f t="shared" si="536"/>
        <v>-208978</v>
      </c>
      <c r="DE107" s="156">
        <f t="shared" si="536"/>
        <v>-208978</v>
      </c>
      <c r="DF107" s="156">
        <f t="shared" si="536"/>
        <v>-208978</v>
      </c>
      <c r="DG107" s="156">
        <f t="shared" si="536"/>
        <v>-208978</v>
      </c>
      <c r="DH107" s="156">
        <f t="shared" si="536"/>
        <v>-208978</v>
      </c>
      <c r="DI107" s="156">
        <f t="shared" si="536"/>
        <v>-208978</v>
      </c>
      <c r="DJ107" s="156">
        <f t="shared" si="536"/>
        <v>-208978</v>
      </c>
      <c r="DK107" s="156">
        <f t="shared" si="536"/>
        <v>-208978</v>
      </c>
      <c r="DL107" s="156">
        <f t="shared" si="536"/>
        <v>-208978</v>
      </c>
      <c r="DM107" s="156">
        <f t="shared" si="536"/>
        <v>-208978</v>
      </c>
      <c r="DN107" s="156">
        <f t="shared" si="536"/>
        <v>-208978</v>
      </c>
      <c r="DO107" s="156">
        <f t="shared" si="536"/>
        <v>-208978</v>
      </c>
      <c r="DP107" s="156">
        <f t="shared" si="536"/>
        <v>-208978</v>
      </c>
      <c r="DQ107" s="156">
        <f t="shared" ref="DQ107:DT107" si="537">+DQ105+DQ106</f>
        <v>-208978</v>
      </c>
      <c r="DR107" s="156">
        <f t="shared" si="537"/>
        <v>-208978</v>
      </c>
      <c r="DS107" s="156">
        <f t="shared" si="537"/>
        <v>-208978</v>
      </c>
      <c r="DT107" s="156">
        <f t="shared" si="537"/>
        <v>-208978</v>
      </c>
      <c r="DU107" s="156">
        <f t="shared" ref="DU107:DX107" si="538">+DU105+DU106</f>
        <v>-208978</v>
      </c>
      <c r="DV107" s="156">
        <f t="shared" si="538"/>
        <v>-208978</v>
      </c>
      <c r="DW107" s="156">
        <f t="shared" si="538"/>
        <v>-208978</v>
      </c>
      <c r="DX107" s="156">
        <f t="shared" si="538"/>
        <v>-208978</v>
      </c>
    </row>
    <row r="108" spans="1:128" s="31" customFormat="1">
      <c r="A108" s="154"/>
      <c r="B108" s="153"/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  <c r="N108" s="153"/>
      <c r="O108" s="153"/>
      <c r="P108" s="153"/>
      <c r="Q108" s="152"/>
      <c r="R108" s="152"/>
      <c r="S108" s="152"/>
      <c r="T108" s="234"/>
      <c r="U108" s="151"/>
      <c r="V108" s="151"/>
      <c r="W108" s="151"/>
      <c r="X108" s="151"/>
      <c r="Y108" s="151"/>
      <c r="Z108" s="151"/>
      <c r="AB108" s="154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55"/>
      <c r="CN108" s="55"/>
      <c r="CO108" s="55"/>
      <c r="CP108" s="55"/>
      <c r="CQ108" s="55"/>
      <c r="CR108" s="55"/>
      <c r="CS108" s="55"/>
      <c r="CT108" s="55"/>
      <c r="CU108" s="55"/>
      <c r="CV108" s="55"/>
      <c r="CW108" s="55"/>
      <c r="CX108" s="55"/>
      <c r="CY108" s="55"/>
      <c r="CZ108" s="55"/>
      <c r="DA108" s="55"/>
      <c r="DB108" s="55"/>
      <c r="DC108" s="55"/>
      <c r="DD108" s="55"/>
      <c r="DE108" s="55"/>
      <c r="DF108" s="55"/>
      <c r="DG108" s="55"/>
      <c r="DH108" s="55"/>
      <c r="DI108" s="55"/>
      <c r="DJ108" s="55"/>
      <c r="DK108" s="55"/>
      <c r="DL108" s="55"/>
      <c r="DM108" s="55"/>
      <c r="DN108" s="55"/>
      <c r="DO108" s="55"/>
      <c r="DP108" s="55"/>
      <c r="DQ108" s="55"/>
      <c r="DR108" s="55"/>
      <c r="DS108" s="55"/>
      <c r="DT108" s="55"/>
      <c r="DU108" s="55"/>
      <c r="DV108" s="55"/>
      <c r="DW108" s="55"/>
      <c r="DX108" s="55"/>
    </row>
    <row r="109" spans="1:128" s="31" customFormat="1">
      <c r="A109" s="154" t="s">
        <v>153</v>
      </c>
      <c r="B109" s="153"/>
      <c r="C109" s="153"/>
      <c r="D109" s="153"/>
      <c r="E109" s="153"/>
      <c r="F109" s="153"/>
      <c r="G109" s="153"/>
      <c r="H109" s="56">
        <f>+BD109</f>
        <v>0</v>
      </c>
      <c r="I109" s="56">
        <f>+BH109</f>
        <v>0</v>
      </c>
      <c r="J109" s="56">
        <f>+BL109</f>
        <v>0</v>
      </c>
      <c r="K109" s="56">
        <f>+BP109</f>
        <v>0</v>
      </c>
      <c r="L109" s="56">
        <f>+BT109</f>
        <v>0</v>
      </c>
      <c r="M109" s="56">
        <f>+BX109</f>
        <v>0</v>
      </c>
      <c r="N109" s="56">
        <f>+CB109</f>
        <v>79760</v>
      </c>
      <c r="O109" s="56">
        <f>+CF109</f>
        <v>79760</v>
      </c>
      <c r="P109" s="56">
        <f>+CJ109</f>
        <v>79760</v>
      </c>
      <c r="Q109" s="58">
        <f>+CN109</f>
        <v>79760</v>
      </c>
      <c r="R109" s="58">
        <f>+CR109</f>
        <v>79760</v>
      </c>
      <c r="S109" s="58">
        <f>+CV109</f>
        <v>79760</v>
      </c>
      <c r="T109" s="56">
        <f ca="1">+CZ109</f>
        <v>79760</v>
      </c>
      <c r="U109" s="55">
        <f ca="1">+DD109</f>
        <v>79760</v>
      </c>
      <c r="V109" s="55">
        <f ca="1">+DH109</f>
        <v>79760</v>
      </c>
      <c r="W109" s="55">
        <f ca="1">+DL109</f>
        <v>79760</v>
      </c>
      <c r="X109" s="55">
        <f ca="1">+DP109</f>
        <v>79760</v>
      </c>
      <c r="Y109" s="55">
        <f ca="1">+DT109</f>
        <v>79760</v>
      </c>
      <c r="Z109" s="55">
        <f ca="1">+DX109</f>
        <v>79760</v>
      </c>
      <c r="AB109" s="154" t="s">
        <v>153</v>
      </c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8">
        <f>'Income Statement'!BZ44</f>
        <v>79760</v>
      </c>
      <c r="BZ109" s="148">
        <f>'Income Statement'!CA44</f>
        <v>79760</v>
      </c>
      <c r="CA109" s="148">
        <f>'Income Statement'!CB44</f>
        <v>79760</v>
      </c>
      <c r="CB109" s="148">
        <f>'Income Statement'!CC44</f>
        <v>79760</v>
      </c>
      <c r="CC109" s="148">
        <f>'Income Statement'!CD44</f>
        <v>79760</v>
      </c>
      <c r="CD109" s="148">
        <f>'Income Statement'!CE44</f>
        <v>79760</v>
      </c>
      <c r="CE109" s="148">
        <f>'Income Statement'!CF44</f>
        <v>79760</v>
      </c>
      <c r="CF109" s="148">
        <f>'Income Statement'!CG44</f>
        <v>79760</v>
      </c>
      <c r="CG109" s="148">
        <f>'Income Statement'!CH44</f>
        <v>79760</v>
      </c>
      <c r="CH109" s="148">
        <f>'Income Statement'!CI44</f>
        <v>79760</v>
      </c>
      <c r="CI109" s="148">
        <f>'Income Statement'!CJ44</f>
        <v>79760</v>
      </c>
      <c r="CJ109" s="148">
        <f>'Income Statement'!CK44</f>
        <v>79760</v>
      </c>
      <c r="CK109" s="148">
        <f>'Income Statement'!CL44</f>
        <v>79760</v>
      </c>
      <c r="CL109" s="148">
        <f>'Income Statement'!CM44</f>
        <v>79760</v>
      </c>
      <c r="CM109" s="148">
        <f>'Income Statement'!CN44</f>
        <v>79760</v>
      </c>
      <c r="CN109" s="148">
        <f>'Income Statement'!CO44</f>
        <v>79760</v>
      </c>
      <c r="CO109" s="148">
        <f>'Income Statement'!CP44</f>
        <v>79760</v>
      </c>
      <c r="CP109" s="148">
        <f>'Income Statement'!CQ44</f>
        <v>79760</v>
      </c>
      <c r="CQ109" s="148">
        <f>'Income Statement'!CR44</f>
        <v>79760</v>
      </c>
      <c r="CR109" s="148">
        <f>'Income Statement'!CS44</f>
        <v>79760</v>
      </c>
      <c r="CS109" s="148">
        <f>'Income Statement'!CT44</f>
        <v>79760</v>
      </c>
      <c r="CT109" s="148">
        <f>'Income Statement'!CU44</f>
        <v>79760</v>
      </c>
      <c r="CU109" s="148">
        <f>'Income Statement'!CV44</f>
        <v>79760</v>
      </c>
      <c r="CV109" s="148">
        <f>'Income Statement'!CW44</f>
        <v>79760</v>
      </c>
      <c r="CW109" s="148">
        <f>'Income Statement'!CX44</f>
        <v>79760</v>
      </c>
      <c r="CX109" s="148">
        <f>'Income Statement'!CY44</f>
        <v>79760</v>
      </c>
      <c r="CY109" s="148">
        <f>'Income Statement'!CZ44</f>
        <v>79760</v>
      </c>
      <c r="CZ109" s="148">
        <f ca="1">'Income Statement'!DA44</f>
        <v>79760</v>
      </c>
      <c r="DA109" s="55">
        <f t="shared" ref="DA109" ca="1" si="539">CZ109+DA98-DA103</f>
        <v>79760</v>
      </c>
      <c r="DB109" s="55">
        <f t="shared" ref="DB109" ca="1" si="540">DA109+DB98-DB103</f>
        <v>79760</v>
      </c>
      <c r="DC109" s="55">
        <f t="shared" ref="DC109" ca="1" si="541">DB109+DC98-DC103</f>
        <v>79760</v>
      </c>
      <c r="DD109" s="55">
        <f t="shared" ref="DD109" ca="1" si="542">DC109+DD98-DD103</f>
        <v>79760</v>
      </c>
      <c r="DE109" s="55">
        <f t="shared" ref="DE109" ca="1" si="543">DD109+DE98-DE103</f>
        <v>79760</v>
      </c>
      <c r="DF109" s="55">
        <f t="shared" ref="DF109" ca="1" si="544">DE109+DF98-DF103</f>
        <v>79760</v>
      </c>
      <c r="DG109" s="55">
        <f t="shared" ref="DG109" ca="1" si="545">DF109+DG98-DG103</f>
        <v>79760</v>
      </c>
      <c r="DH109" s="55">
        <f t="shared" ref="DH109" ca="1" si="546">DG109+DH98-DH103</f>
        <v>79760</v>
      </c>
      <c r="DI109" s="55">
        <f t="shared" ref="DI109" ca="1" si="547">DH109+DI98-DI103</f>
        <v>79760</v>
      </c>
      <c r="DJ109" s="55">
        <f t="shared" ref="DJ109" ca="1" si="548">DI109+DJ98-DJ103</f>
        <v>79760</v>
      </c>
      <c r="DK109" s="55">
        <f t="shared" ref="DK109" ca="1" si="549">DJ109+DK98-DK103</f>
        <v>79760</v>
      </c>
      <c r="DL109" s="55">
        <f t="shared" ref="DL109" ca="1" si="550">DK109+DL98-DL103</f>
        <v>79760</v>
      </c>
      <c r="DM109" s="55">
        <f t="shared" ref="DM109" ca="1" si="551">DL109+DM98-DM103</f>
        <v>79760</v>
      </c>
      <c r="DN109" s="55">
        <f t="shared" ref="DN109" ca="1" si="552">DM109+DN98-DN103</f>
        <v>79760</v>
      </c>
      <c r="DO109" s="55">
        <f t="shared" ref="DO109" ca="1" si="553">DN109+DO98-DO103</f>
        <v>79760</v>
      </c>
      <c r="DP109" s="55">
        <f t="shared" ref="DP109" ca="1" si="554">DO109+DP98-DP103</f>
        <v>79760</v>
      </c>
      <c r="DQ109" s="55">
        <f t="shared" ref="DQ109" ca="1" si="555">DP109+DQ98-DQ103</f>
        <v>79760</v>
      </c>
      <c r="DR109" s="55">
        <f t="shared" ref="DR109" ca="1" si="556">DQ109+DR98-DR103</f>
        <v>79760</v>
      </c>
      <c r="DS109" s="55">
        <f t="shared" ref="DS109" ca="1" si="557">DR109+DS98-DS103</f>
        <v>79760</v>
      </c>
      <c r="DT109" s="55">
        <f t="shared" ref="DT109" ca="1" si="558">DS109+DT98-DT103</f>
        <v>79760</v>
      </c>
      <c r="DU109" s="55">
        <f t="shared" ref="DU109" ca="1" si="559">DT109+DU98-DU103</f>
        <v>79760</v>
      </c>
      <c r="DV109" s="55">
        <f t="shared" ref="DV109" ca="1" si="560">DU109+DV98-DV103</f>
        <v>79760</v>
      </c>
      <c r="DW109" s="55">
        <f t="shared" ref="DW109" ca="1" si="561">DV109+DW98-DW103</f>
        <v>79760</v>
      </c>
      <c r="DX109" s="55">
        <f t="shared" ref="DX109" ca="1" si="562">DW109+DX98-DX103</f>
        <v>79760</v>
      </c>
    </row>
    <row r="110" spans="1:128" s="31" customFormat="1">
      <c r="A110" s="154"/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2"/>
      <c r="R110" s="152"/>
      <c r="S110" s="152"/>
      <c r="T110" s="151"/>
      <c r="U110" s="151"/>
      <c r="V110" s="151"/>
      <c r="W110" s="151"/>
      <c r="X110" s="151"/>
      <c r="Y110" s="151"/>
      <c r="Z110" s="151"/>
      <c r="AB110" s="150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47"/>
      <c r="CN110" s="147"/>
      <c r="CO110" s="147"/>
      <c r="CP110" s="147"/>
      <c r="CQ110" s="147"/>
      <c r="CR110" s="147"/>
      <c r="CS110" s="147"/>
      <c r="CT110" s="147"/>
      <c r="CU110" s="147"/>
      <c r="CV110" s="147"/>
      <c r="CW110" s="147"/>
      <c r="CX110" s="147"/>
      <c r="CY110" s="147"/>
      <c r="CZ110" s="147"/>
      <c r="DA110" s="147"/>
      <c r="DB110" s="147"/>
      <c r="DC110" s="147"/>
      <c r="DD110" s="147"/>
      <c r="DE110" s="147"/>
      <c r="DF110" s="147"/>
      <c r="DG110" s="147"/>
      <c r="DH110" s="147"/>
      <c r="DI110" s="147"/>
      <c r="DJ110" s="147"/>
      <c r="DK110" s="147"/>
      <c r="DL110" s="147"/>
      <c r="DM110" s="147"/>
      <c r="DN110" s="147"/>
      <c r="DO110" s="147"/>
      <c r="DP110" s="147"/>
      <c r="DQ110" s="147"/>
      <c r="DR110" s="147"/>
      <c r="DS110" s="147"/>
      <c r="DT110" s="147"/>
      <c r="DU110" s="147"/>
      <c r="DV110" s="147"/>
      <c r="DW110" s="147"/>
      <c r="DX110" s="147"/>
    </row>
    <row r="111" spans="1:128" s="31" customFormat="1">
      <c r="A111" s="154"/>
      <c r="B111" s="153"/>
      <c r="C111" s="153"/>
      <c r="D111" s="153"/>
      <c r="E111" s="153"/>
      <c r="F111" s="153"/>
      <c r="G111" s="153"/>
      <c r="H111" s="153"/>
      <c r="I111" s="153"/>
      <c r="J111" s="153"/>
      <c r="K111" s="153"/>
      <c r="L111" s="153"/>
      <c r="M111" s="153"/>
      <c r="N111" s="153"/>
      <c r="O111" s="153"/>
      <c r="P111" s="153"/>
      <c r="Q111" s="152"/>
      <c r="R111" s="152"/>
      <c r="S111" s="152"/>
      <c r="T111" s="151"/>
      <c r="U111" s="151"/>
      <c r="V111" s="151"/>
      <c r="W111" s="151"/>
      <c r="X111" s="151"/>
      <c r="Y111" s="151"/>
      <c r="Z111" s="151"/>
      <c r="AB111" s="150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7"/>
      <c r="CN111" s="147"/>
      <c r="CO111" s="147"/>
      <c r="CP111" s="147"/>
      <c r="CQ111" s="147"/>
      <c r="CR111" s="147"/>
      <c r="CS111" s="147"/>
      <c r="CT111" s="147"/>
      <c r="CU111" s="147"/>
      <c r="CV111" s="147"/>
      <c r="CW111" s="147"/>
      <c r="CX111" s="147"/>
      <c r="CY111" s="147"/>
      <c r="CZ111" s="147"/>
      <c r="DA111" s="147"/>
      <c r="DB111" s="147"/>
      <c r="DC111" s="147"/>
      <c r="DD111" s="147"/>
      <c r="DE111" s="147"/>
      <c r="DF111" s="147"/>
      <c r="DG111" s="147"/>
      <c r="DH111" s="147"/>
      <c r="DI111" s="147"/>
      <c r="DJ111" s="147"/>
      <c r="DK111" s="147"/>
      <c r="DL111" s="147"/>
      <c r="DM111" s="147"/>
      <c r="DN111" s="147"/>
      <c r="DO111" s="147"/>
      <c r="DP111" s="147"/>
      <c r="DQ111" s="147"/>
      <c r="DR111" s="147"/>
      <c r="DS111" s="147"/>
      <c r="DT111" s="147"/>
      <c r="DU111" s="147"/>
      <c r="DV111" s="147"/>
      <c r="DW111" s="147"/>
      <c r="DX111" s="147"/>
    </row>
    <row r="112" spans="1:128" ht="10.199999999999999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5"/>
      <c r="R112" s="35"/>
      <c r="S112" s="35"/>
      <c r="T112" s="34"/>
      <c r="U112" s="34"/>
      <c r="V112" s="34"/>
      <c r="W112" s="34"/>
      <c r="X112" s="34"/>
      <c r="Y112" s="34"/>
      <c r="Z112" s="34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</row>
  </sheetData>
  <pageMargins left="0.39370100000000002" right="0.39370100000000002" top="0.39370100000000002" bottom="0.39370100000000002" header="0.5" footer="0.5"/>
  <pageSetup orientation="portrait" r:id="rId1"/>
  <headerFooter alignWithMargins="0"/>
  <customProperties>
    <customPr name="Qube.Worksheet.Visibility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DX95"/>
  <sheetViews>
    <sheetView showGridLines="0" zoomScale="115" zoomScaleNormal="115" workbookViewId="0">
      <pane xSplit="1" ySplit="8" topLeftCell="DM32" activePane="bottomRight" state="frozen"/>
      <selection activeCell="T7" sqref="T7"/>
      <selection pane="topRight" activeCell="T7" sqref="T7"/>
      <selection pane="bottomLeft" activeCell="T7" sqref="T7"/>
      <selection pane="bottomRight" activeCell="DX38" sqref="DX38"/>
    </sheetView>
  </sheetViews>
  <sheetFormatPr baseColWidth="10" defaultColWidth="9" defaultRowHeight="13.2" outlineLevelCol="1"/>
  <cols>
    <col min="1" max="1" width="43.59765625" style="210" customWidth="1"/>
    <col min="2" max="13" width="9" style="210" hidden="1" customWidth="1" outlineLevel="1"/>
    <col min="14" max="14" width="9" style="210" hidden="1" customWidth="1" outlineLevel="1" collapsed="1"/>
    <col min="15" max="15" width="0" style="210" hidden="1" customWidth="1" outlineLevel="1"/>
    <col min="16" max="16" width="9" style="210" collapsed="1"/>
    <col min="17" max="18" width="9" style="212"/>
    <col min="19" max="26" width="9" style="211"/>
    <col min="27" max="27" width="9" style="210"/>
    <col min="28" max="28" width="43.09765625" style="210" customWidth="1"/>
    <col min="29" max="60" width="8" style="210" hidden="1" customWidth="1" outlineLevel="1"/>
    <col min="61" max="76" width="9" style="210" hidden="1" customWidth="1" outlineLevel="1"/>
    <col min="77" max="77" width="9" style="210" hidden="1" customWidth="1" outlineLevel="1" collapsed="1"/>
    <col min="78" max="80" width="9" style="210" hidden="1" customWidth="1" outlineLevel="1"/>
    <col min="81" max="84" width="0" style="210" hidden="1" customWidth="1" outlineLevel="1"/>
    <col min="85" max="85" width="9" style="210" collapsed="1"/>
    <col min="86" max="128" width="9" style="210"/>
    <col min="129" max="16384" width="9" style="209"/>
  </cols>
  <sheetData>
    <row r="1" spans="1:128" ht="42.75" customHeight="1">
      <c r="A1" s="312"/>
      <c r="B1" s="316"/>
      <c r="C1" s="315"/>
      <c r="D1" s="312"/>
      <c r="E1" s="144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4"/>
      <c r="R1" s="314"/>
      <c r="S1" s="313"/>
      <c r="T1" s="313"/>
      <c r="U1" s="313"/>
      <c r="V1" s="313"/>
      <c r="W1" s="313"/>
      <c r="X1" s="313"/>
      <c r="Y1" s="313"/>
      <c r="Z1" s="313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2"/>
      <c r="CD1" s="312"/>
      <c r="CE1" s="312"/>
      <c r="CF1" s="312"/>
      <c r="CG1" s="312"/>
      <c r="CH1" s="312"/>
      <c r="CI1" s="312"/>
      <c r="CJ1" s="312"/>
      <c r="CK1" s="312"/>
      <c r="CL1" s="312"/>
      <c r="CM1" s="312"/>
      <c r="CN1" s="312"/>
      <c r="CO1" s="312"/>
      <c r="CP1" s="312"/>
      <c r="CQ1" s="312"/>
      <c r="CR1" s="312"/>
      <c r="CS1" s="312"/>
      <c r="CT1" s="312"/>
      <c r="CU1" s="312"/>
      <c r="CV1" s="312"/>
      <c r="CW1" s="312"/>
      <c r="CX1" s="312"/>
      <c r="CY1" s="312"/>
      <c r="CZ1" s="312"/>
      <c r="DA1" s="312"/>
      <c r="DB1" s="312"/>
      <c r="DC1" s="312"/>
      <c r="DD1" s="312"/>
      <c r="DE1" s="312"/>
      <c r="DF1" s="312"/>
      <c r="DG1" s="312"/>
      <c r="DH1" s="312"/>
      <c r="DI1" s="312"/>
      <c r="DJ1" s="312"/>
      <c r="DK1" s="312"/>
      <c r="DL1" s="312"/>
      <c r="DM1" s="312"/>
      <c r="DN1" s="312"/>
      <c r="DO1" s="312"/>
      <c r="DP1" s="312"/>
      <c r="DQ1" s="312"/>
      <c r="DR1" s="312"/>
      <c r="DS1" s="312"/>
      <c r="DT1" s="312"/>
      <c r="DU1" s="312"/>
      <c r="DV1" s="312"/>
      <c r="DW1" s="312"/>
      <c r="DX1" s="312"/>
    </row>
    <row r="2" spans="1:128">
      <c r="B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AB2" s="310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8"/>
      <c r="AS2" s="309"/>
      <c r="AT2" s="309"/>
      <c r="AU2" s="309"/>
      <c r="AV2" s="309"/>
      <c r="AW2" s="309"/>
      <c r="AX2" s="309"/>
      <c r="AY2" s="309"/>
      <c r="AZ2" s="309"/>
      <c r="BA2" s="308"/>
      <c r="BB2" s="308"/>
      <c r="BC2" s="308"/>
      <c r="BD2" s="308"/>
      <c r="BE2" s="309"/>
      <c r="BF2" s="309"/>
      <c r="BG2" s="309"/>
      <c r="BH2" s="309"/>
      <c r="BI2" s="308"/>
      <c r="BJ2" s="308"/>
      <c r="BK2" s="308"/>
      <c r="BL2" s="308"/>
      <c r="BM2" s="308"/>
      <c r="BN2" s="308"/>
      <c r="BO2" s="308"/>
      <c r="BP2" s="308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9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</row>
    <row r="3" spans="1:128" ht="22.8">
      <c r="A3" s="311" t="str">
        <f>'Income Statement'!A3</f>
        <v>Credicorp, Inc. (BAP)</v>
      </c>
      <c r="B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AB3" s="310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8"/>
      <c r="AS3" s="309"/>
      <c r="AT3" s="309"/>
      <c r="AU3" s="309"/>
      <c r="AV3" s="309"/>
      <c r="AW3" s="309"/>
      <c r="AX3" s="309"/>
      <c r="AY3" s="309"/>
      <c r="AZ3" s="309"/>
      <c r="BA3" s="308"/>
      <c r="BB3" s="308"/>
      <c r="BC3" s="308"/>
      <c r="BD3" s="308"/>
      <c r="BE3" s="309"/>
      <c r="BF3" s="309"/>
      <c r="BG3" s="309"/>
      <c r="BH3" s="309"/>
      <c r="BI3" s="308"/>
      <c r="BJ3" s="308"/>
      <c r="BK3" s="308"/>
      <c r="BL3" s="308"/>
      <c r="BM3" s="308"/>
      <c r="BN3" s="308"/>
      <c r="BO3" s="308"/>
      <c r="BP3" s="308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9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</row>
    <row r="4" spans="1:128">
      <c r="A4" s="139" t="s">
        <v>272</v>
      </c>
      <c r="B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AB4" s="310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8"/>
      <c r="AS4" s="309"/>
      <c r="AT4" s="309"/>
      <c r="AU4" s="309"/>
      <c r="AV4" s="309"/>
      <c r="AW4" s="309"/>
      <c r="AX4" s="309"/>
      <c r="AY4" s="309"/>
      <c r="AZ4" s="309"/>
      <c r="BA4" s="308"/>
      <c r="BB4" s="308"/>
      <c r="BC4" s="308"/>
      <c r="BD4" s="308"/>
      <c r="BE4" s="309"/>
      <c r="BF4" s="309"/>
      <c r="BG4" s="309"/>
      <c r="BH4" s="309"/>
      <c r="BI4" s="308"/>
      <c r="BJ4" s="308"/>
      <c r="BK4" s="308"/>
      <c r="BL4" s="308"/>
      <c r="BM4" s="308"/>
      <c r="BN4" s="308"/>
      <c r="BO4" s="308"/>
      <c r="BP4" s="308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9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</row>
    <row r="5" spans="1:128">
      <c r="A5" s="137" t="str">
        <f>+'Income Statement'!A5</f>
        <v>In NS$ thousands, unless otherwise noted</v>
      </c>
      <c r="B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AB5" s="310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8"/>
      <c r="AS5" s="309"/>
      <c r="AT5" s="309"/>
      <c r="AU5" s="309"/>
      <c r="AV5" s="309"/>
      <c r="AW5" s="309"/>
      <c r="AX5" s="309"/>
      <c r="AY5" s="309"/>
      <c r="AZ5" s="309"/>
      <c r="BA5" s="308"/>
      <c r="BB5" s="308"/>
      <c r="BC5" s="308"/>
      <c r="BD5" s="308"/>
      <c r="BE5" s="309"/>
      <c r="BF5" s="309"/>
      <c r="BG5" s="309"/>
      <c r="BH5" s="309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9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</row>
    <row r="6" spans="1:128">
      <c r="A6" s="308"/>
      <c r="B6" s="309"/>
      <c r="D6" s="309"/>
      <c r="E6" s="309"/>
      <c r="F6" s="309"/>
      <c r="G6" s="309"/>
      <c r="H6" s="309"/>
      <c r="I6" s="309"/>
      <c r="J6" s="213"/>
      <c r="K6" s="213"/>
      <c r="L6" s="213"/>
      <c r="M6" s="213"/>
      <c r="N6" s="213"/>
      <c r="O6" s="213"/>
      <c r="P6" s="213"/>
      <c r="Q6" s="215"/>
      <c r="R6" s="215"/>
      <c r="S6" s="214"/>
      <c r="T6" s="214"/>
      <c r="U6" s="214"/>
      <c r="V6" s="214"/>
      <c r="W6" s="214"/>
      <c r="X6" s="214"/>
      <c r="Y6" s="214"/>
      <c r="Z6" s="214"/>
      <c r="AB6" s="310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8"/>
      <c r="AS6" s="309"/>
      <c r="AT6" s="309"/>
      <c r="AU6" s="309"/>
      <c r="AV6" s="309"/>
      <c r="AW6" s="309"/>
      <c r="AX6" s="309"/>
      <c r="AY6" s="309"/>
      <c r="AZ6" s="309"/>
      <c r="BA6" s="308"/>
      <c r="BB6" s="308"/>
      <c r="BC6" s="308"/>
      <c r="BD6" s="308"/>
      <c r="BE6" s="309"/>
      <c r="BF6" s="309"/>
      <c r="BG6" s="309"/>
      <c r="BH6" s="309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9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</row>
    <row r="7" spans="1:128">
      <c r="A7" s="137"/>
      <c r="B7" s="301"/>
      <c r="C7" s="301"/>
      <c r="D7" s="301"/>
      <c r="E7" s="307"/>
      <c r="F7" s="301"/>
      <c r="G7" s="301"/>
      <c r="H7" s="301"/>
      <c r="I7" s="301"/>
      <c r="J7" s="306"/>
      <c r="K7" s="301"/>
      <c r="L7" s="301"/>
      <c r="M7" s="301"/>
      <c r="N7" s="301"/>
      <c r="O7" s="301"/>
      <c r="P7" s="301"/>
      <c r="Q7" s="305"/>
      <c r="R7" s="305"/>
      <c r="S7" s="304"/>
      <c r="T7" s="304"/>
      <c r="U7" s="304"/>
      <c r="V7" s="304"/>
      <c r="W7" s="304"/>
      <c r="X7" s="304"/>
      <c r="Y7" s="304"/>
      <c r="Z7" s="304"/>
      <c r="AA7" s="213"/>
      <c r="AB7" s="137"/>
      <c r="AC7" s="303"/>
      <c r="AD7" s="303"/>
      <c r="AE7" s="303"/>
      <c r="AF7" s="303"/>
      <c r="AG7" s="303"/>
      <c r="AH7" s="303"/>
      <c r="AI7" s="303"/>
      <c r="AJ7" s="303"/>
      <c r="AK7" s="303"/>
      <c r="AL7" s="303"/>
      <c r="AM7" s="303"/>
      <c r="AN7" s="303"/>
      <c r="AO7" s="302"/>
      <c r="AP7" s="302"/>
      <c r="AQ7" s="302"/>
      <c r="AR7" s="302"/>
      <c r="AS7" s="302"/>
      <c r="AT7" s="302"/>
      <c r="AU7" s="302"/>
      <c r="AV7" s="302"/>
      <c r="AW7" s="302"/>
      <c r="AX7" s="302"/>
      <c r="AY7" s="302"/>
      <c r="AZ7" s="302"/>
      <c r="BA7" s="302"/>
      <c r="BB7" s="302"/>
      <c r="BC7" s="302"/>
      <c r="BD7" s="301"/>
      <c r="BE7" s="301"/>
      <c r="BF7" s="301"/>
      <c r="BG7" s="301"/>
      <c r="BH7" s="301"/>
      <c r="BI7" s="301"/>
      <c r="BJ7" s="301"/>
      <c r="BK7" s="301"/>
      <c r="BL7" s="301"/>
      <c r="BM7" s="301"/>
      <c r="BN7" s="301"/>
      <c r="BO7" s="301"/>
      <c r="BP7" s="301"/>
      <c r="BQ7" s="301"/>
      <c r="BR7" s="301"/>
      <c r="BS7" s="301"/>
      <c r="BT7" s="301"/>
      <c r="BU7" s="301"/>
      <c r="BV7" s="301"/>
      <c r="BW7" s="301"/>
      <c r="BX7" s="301"/>
      <c r="BY7" s="301"/>
      <c r="BZ7" s="301"/>
      <c r="CA7" s="301"/>
      <c r="CB7" s="301"/>
      <c r="CC7" s="301"/>
      <c r="CD7" s="301"/>
      <c r="CE7" s="301"/>
      <c r="CF7" s="301"/>
      <c r="CG7" s="301"/>
      <c r="CH7" s="301"/>
      <c r="CI7" s="301"/>
      <c r="CJ7" s="301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588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</row>
    <row r="8" spans="1:128">
      <c r="A8" s="78" t="s">
        <v>272</v>
      </c>
      <c r="B8" s="81">
        <v>1997</v>
      </c>
      <c r="C8" s="81">
        <v>1998</v>
      </c>
      <c r="D8" s="81">
        <v>1999</v>
      </c>
      <c r="E8" s="299">
        <v>2000</v>
      </c>
      <c r="F8" s="299">
        <v>2001</v>
      </c>
      <c r="G8" s="299">
        <v>2002</v>
      </c>
      <c r="H8" s="299">
        <v>2003</v>
      </c>
      <c r="I8" s="299">
        <v>2004</v>
      </c>
      <c r="J8" s="299">
        <v>2005</v>
      </c>
      <c r="K8" s="299">
        <v>2006</v>
      </c>
      <c r="L8" s="299">
        <v>2007</v>
      </c>
      <c r="M8" s="299">
        <v>2008</v>
      </c>
      <c r="N8" s="299">
        <v>2009</v>
      </c>
      <c r="O8" s="299">
        <v>2010</v>
      </c>
      <c r="P8" s="299">
        <v>2011</v>
      </c>
      <c r="Q8" s="298">
        <v>2012</v>
      </c>
      <c r="R8" s="298">
        <v>2013</v>
      </c>
      <c r="S8" s="298">
        <v>2014</v>
      </c>
      <c r="T8" s="299">
        <f>+'Income Statement'!T7</f>
        <v>2015</v>
      </c>
      <c r="U8" s="297" t="str">
        <f>+'Income Statement'!U7</f>
        <v>2016E</v>
      </c>
      <c r="V8" s="297" t="str">
        <f>+'Income Statement'!V7</f>
        <v>2017E</v>
      </c>
      <c r="W8" s="297" t="str">
        <f>+'Income Statement'!W7</f>
        <v>2018E</v>
      </c>
      <c r="X8" s="297" t="str">
        <f>+'Income Statement'!X7</f>
        <v>2019E</v>
      </c>
      <c r="Y8" s="297" t="str">
        <f>+'Income Statement'!Y7</f>
        <v>2020E</v>
      </c>
      <c r="Z8" s="297" t="str">
        <f>+'Income Statement'!Z7</f>
        <v>2021E</v>
      </c>
      <c r="AA8" s="213"/>
      <c r="AB8" s="78" t="s">
        <v>272</v>
      </c>
      <c r="AC8" s="296" t="str">
        <f>+'Balance Sheet'!AC7</f>
        <v>1Q97</v>
      </c>
      <c r="AD8" s="296" t="str">
        <f>+'Balance Sheet'!AD7</f>
        <v>2Q97</v>
      </c>
      <c r="AE8" s="296" t="str">
        <f>+'Balance Sheet'!AE7</f>
        <v>3Q97</v>
      </c>
      <c r="AF8" s="296" t="str">
        <f>+'Balance Sheet'!AF7</f>
        <v>4Q97</v>
      </c>
      <c r="AG8" s="296" t="str">
        <f>+'Balance Sheet'!AG7</f>
        <v>1Q98</v>
      </c>
      <c r="AH8" s="296" t="str">
        <f>+'Balance Sheet'!AH7</f>
        <v>2Q98</v>
      </c>
      <c r="AI8" s="296" t="str">
        <f>+'Balance Sheet'!AI7</f>
        <v>3Q98</v>
      </c>
      <c r="AJ8" s="296" t="str">
        <f>+'Balance Sheet'!AJ7</f>
        <v>4Q98</v>
      </c>
      <c r="AK8" s="296" t="str">
        <f>+'Balance Sheet'!AK7</f>
        <v>1Q99</v>
      </c>
      <c r="AL8" s="296" t="str">
        <f>+'Balance Sheet'!AL7</f>
        <v>2Q99</v>
      </c>
      <c r="AM8" s="296" t="str">
        <f>+'Balance Sheet'!AM7</f>
        <v>3Q99</v>
      </c>
      <c r="AN8" s="296" t="str">
        <f>+'Balance Sheet'!AN7</f>
        <v>4Q99</v>
      </c>
      <c r="AO8" s="296" t="str">
        <f>+'Balance Sheet'!AO7</f>
        <v>1Q00</v>
      </c>
      <c r="AP8" s="296" t="str">
        <f>+'Balance Sheet'!AP7</f>
        <v>2Q00</v>
      </c>
      <c r="AQ8" s="296" t="str">
        <f>+'Balance Sheet'!AQ7</f>
        <v>3Q00</v>
      </c>
      <c r="AR8" s="296" t="str">
        <f>+'Balance Sheet'!AR7</f>
        <v>4Q00</v>
      </c>
      <c r="AS8" s="296" t="str">
        <f>+'Balance Sheet'!AS7</f>
        <v>1Q01</v>
      </c>
      <c r="AT8" s="296" t="str">
        <f>+'Balance Sheet'!AT7</f>
        <v>2Q01</v>
      </c>
      <c r="AU8" s="296" t="str">
        <f>+'Balance Sheet'!AU7</f>
        <v>3Q01</v>
      </c>
      <c r="AV8" s="296" t="str">
        <f>+'Balance Sheet'!AV7</f>
        <v>4Q01</v>
      </c>
      <c r="AW8" s="296" t="str">
        <f>+'Balance Sheet'!AW7</f>
        <v>1Q02</v>
      </c>
      <c r="AX8" s="296" t="str">
        <f>+'Balance Sheet'!AX7</f>
        <v>2Q02</v>
      </c>
      <c r="AY8" s="296" t="str">
        <f>+'Balance Sheet'!AY7</f>
        <v>3Q02</v>
      </c>
      <c r="AZ8" s="296" t="str">
        <f>+'Balance Sheet'!AZ7</f>
        <v>4Q02</v>
      </c>
      <c r="BA8" s="296" t="str">
        <f>+'Balance Sheet'!BA7</f>
        <v>1Q03</v>
      </c>
      <c r="BB8" s="296" t="str">
        <f>+'Balance Sheet'!BB7</f>
        <v>2Q03</v>
      </c>
      <c r="BC8" s="296" t="str">
        <f>+'Balance Sheet'!BC7</f>
        <v>3Q03</v>
      </c>
      <c r="BD8" s="296" t="str">
        <f>+'Balance Sheet'!BD7</f>
        <v>4Q03</v>
      </c>
      <c r="BE8" s="296" t="str">
        <f>+'Balance Sheet'!BE7</f>
        <v>1Q04</v>
      </c>
      <c r="BF8" s="296" t="str">
        <f>+'Balance Sheet'!BF7</f>
        <v>2Q04</v>
      </c>
      <c r="BG8" s="296" t="str">
        <f>+'Balance Sheet'!BG7</f>
        <v>3Q04</v>
      </c>
      <c r="BH8" s="296" t="str">
        <f>+'Balance Sheet'!BH7</f>
        <v>4Q04</v>
      </c>
      <c r="BI8" s="77" t="str">
        <f>+'Balance Sheet'!BI7</f>
        <v>1Q05</v>
      </c>
      <c r="BJ8" s="77" t="str">
        <f>+'Balance Sheet'!BJ7</f>
        <v>2Q05</v>
      </c>
      <c r="BK8" s="77" t="str">
        <f>+'Balance Sheet'!BK7</f>
        <v>3Q05</v>
      </c>
      <c r="BL8" s="77" t="str">
        <f>+'Balance Sheet'!BL7</f>
        <v>4Q05</v>
      </c>
      <c r="BM8" s="77" t="str">
        <f>+'Balance Sheet'!BM7</f>
        <v>1Q06</v>
      </c>
      <c r="BN8" s="77" t="str">
        <f>+'Balance Sheet'!BN7</f>
        <v>2Q06</v>
      </c>
      <c r="BO8" s="77" t="str">
        <f>+'Balance Sheet'!BO7</f>
        <v>3Q06</v>
      </c>
      <c r="BP8" s="77" t="str">
        <f>+'Balance Sheet'!BP7</f>
        <v>4Q06</v>
      </c>
      <c r="BQ8" s="77" t="str">
        <f>+'Balance Sheet'!BQ7</f>
        <v>1Q07</v>
      </c>
      <c r="BR8" s="77" t="str">
        <f>+'Balance Sheet'!BR7</f>
        <v>2Q07</v>
      </c>
      <c r="BS8" s="77" t="str">
        <f>+'Balance Sheet'!BS7</f>
        <v>3Q07</v>
      </c>
      <c r="BT8" s="77" t="str">
        <f>+'Balance Sheet'!BT7</f>
        <v>4Q07</v>
      </c>
      <c r="BU8" s="77" t="str">
        <f>+'Balance Sheet'!BU7</f>
        <v>1Q08</v>
      </c>
      <c r="BV8" s="77" t="str">
        <f>+'Balance Sheet'!BV7</f>
        <v>2Q08</v>
      </c>
      <c r="BW8" s="77" t="str">
        <f>+'Balance Sheet'!BW7</f>
        <v>3Q08</v>
      </c>
      <c r="BX8" s="77" t="str">
        <f>+'Balance Sheet'!BX7</f>
        <v>4Q08</v>
      </c>
      <c r="BY8" s="77" t="str">
        <f>+'Balance Sheet'!BY7</f>
        <v>1Q09</v>
      </c>
      <c r="BZ8" s="77" t="str">
        <f>+'Balance Sheet'!BZ7</f>
        <v>2Q09</v>
      </c>
      <c r="CA8" s="77" t="str">
        <f>+'Balance Sheet'!CA7</f>
        <v>3Q09</v>
      </c>
      <c r="CB8" s="77" t="str">
        <f>+'Balance Sheet'!CB7</f>
        <v>4Q09</v>
      </c>
      <c r="CC8" s="77" t="str">
        <f>+'Balance Sheet'!CC7</f>
        <v>1Q10</v>
      </c>
      <c r="CD8" s="77" t="str">
        <f>+'Balance Sheet'!CD7</f>
        <v>2Q10</v>
      </c>
      <c r="CE8" s="77" t="str">
        <f>+'Balance Sheet'!CE7</f>
        <v>3Q10</v>
      </c>
      <c r="CF8" s="77" t="str">
        <f>+'Balance Sheet'!CF7</f>
        <v>4Q10</v>
      </c>
      <c r="CG8" s="77" t="str">
        <f>+'Balance Sheet'!CG7</f>
        <v>1Q11</v>
      </c>
      <c r="CH8" s="77" t="str">
        <f>+'Balance Sheet'!CH7</f>
        <v>2Q11</v>
      </c>
      <c r="CI8" s="77" t="str">
        <f>+'Balance Sheet'!CI7</f>
        <v>3Q11</v>
      </c>
      <c r="CJ8" s="77" t="str">
        <f>+'Balance Sheet'!CJ7</f>
        <v>4Q11</v>
      </c>
      <c r="CK8" s="77" t="str">
        <f>+'Balance Sheet'!CK7</f>
        <v>1Q12</v>
      </c>
      <c r="CL8" s="77" t="str">
        <f>+'Balance Sheet'!CL7</f>
        <v>2Q12</v>
      </c>
      <c r="CM8" s="77" t="str">
        <f>+'Balance Sheet'!CM7</f>
        <v>3Q12</v>
      </c>
      <c r="CN8" s="77" t="str">
        <f>+'Balance Sheet'!CN7</f>
        <v>4Q12</v>
      </c>
      <c r="CO8" s="77" t="str">
        <f>+'Balance Sheet'!CO7</f>
        <v>1Q13</v>
      </c>
      <c r="CP8" s="77" t="str">
        <f>+'Balance Sheet'!CP7</f>
        <v>2Q13</v>
      </c>
      <c r="CQ8" s="77" t="str">
        <f>+'Balance Sheet'!CQ7</f>
        <v>3Q13</v>
      </c>
      <c r="CR8" s="77" t="str">
        <f>+'Balance Sheet'!CR7</f>
        <v>4Q13</v>
      </c>
      <c r="CS8" s="77" t="str">
        <f>+'Balance Sheet'!CS7</f>
        <v>1Q14</v>
      </c>
      <c r="CT8" s="77" t="str">
        <f>+'Balance Sheet'!CT7</f>
        <v>2Q14</v>
      </c>
      <c r="CU8" s="77" t="str">
        <f>+'Balance Sheet'!CU7</f>
        <v>3Q14</v>
      </c>
      <c r="CV8" s="77" t="str">
        <f>+'Balance Sheet'!CV7</f>
        <v>4Q14</v>
      </c>
      <c r="CW8" s="77" t="str">
        <f>+'Balance Sheet'!CW7</f>
        <v>1Q15</v>
      </c>
      <c r="CX8" s="77" t="str">
        <f>+'Balance Sheet'!CX7</f>
        <v>2Q15</v>
      </c>
      <c r="CY8" s="77" t="str">
        <f>+'Balance Sheet'!CY7</f>
        <v>3Q15</v>
      </c>
      <c r="CZ8" s="77" t="str">
        <f>+'Balance Sheet'!CZ7</f>
        <v>4Q15</v>
      </c>
      <c r="DA8" s="75" t="str">
        <f>+'Balance Sheet'!DA7</f>
        <v>1Q16E</v>
      </c>
      <c r="DB8" s="75" t="str">
        <f>+'Balance Sheet'!DB7</f>
        <v>2Q16E</v>
      </c>
      <c r="DC8" s="75" t="str">
        <f>+'Balance Sheet'!DC7</f>
        <v>3Q16E</v>
      </c>
      <c r="DD8" s="75" t="str">
        <f>+'Balance Sheet'!DD7</f>
        <v>4Q16E</v>
      </c>
      <c r="DE8" s="75" t="str">
        <f>+'Balance Sheet'!DE7</f>
        <v>1Q17E</v>
      </c>
      <c r="DF8" s="75" t="str">
        <f>+'Balance Sheet'!DF7</f>
        <v>2Q17E</v>
      </c>
      <c r="DG8" s="75" t="str">
        <f>+'Balance Sheet'!DG7</f>
        <v>3Q17E</v>
      </c>
      <c r="DH8" s="75" t="str">
        <f>+'Balance Sheet'!DH7</f>
        <v>4Q17E</v>
      </c>
      <c r="DI8" s="75" t="str">
        <f>+'Balance Sheet'!DI7</f>
        <v>1Q18E</v>
      </c>
      <c r="DJ8" s="75" t="str">
        <f>+'Balance Sheet'!DJ7</f>
        <v>2Q18E</v>
      </c>
      <c r="DK8" s="75" t="str">
        <f>+'Balance Sheet'!DK7</f>
        <v>3Q18E</v>
      </c>
      <c r="DL8" s="75" t="str">
        <f>+'Balance Sheet'!DL7</f>
        <v>4Q18E</v>
      </c>
      <c r="DM8" s="75" t="str">
        <f>+'Balance Sheet'!DM7</f>
        <v>1Q19E</v>
      </c>
      <c r="DN8" s="75" t="str">
        <f>+'Balance Sheet'!DN7</f>
        <v>2Q19E</v>
      </c>
      <c r="DO8" s="75" t="str">
        <f>+'Balance Sheet'!DO7</f>
        <v>3Q19E</v>
      </c>
      <c r="DP8" s="75" t="str">
        <f>+'Balance Sheet'!DP7</f>
        <v>4Q19E</v>
      </c>
      <c r="DQ8" s="75" t="str">
        <f>+'Balance Sheet'!DQ7</f>
        <v>1Q20E</v>
      </c>
      <c r="DR8" s="75" t="str">
        <f>+'Balance Sheet'!DR7</f>
        <v>2Q20E</v>
      </c>
      <c r="DS8" s="75" t="str">
        <f>+'Balance Sheet'!DS7</f>
        <v>3Q20E</v>
      </c>
      <c r="DT8" s="75" t="str">
        <f>+'Balance Sheet'!DT7</f>
        <v>4Q20E</v>
      </c>
      <c r="DU8" s="75" t="str">
        <f>+'Balance Sheet'!DU7</f>
        <v>1Q21E</v>
      </c>
      <c r="DV8" s="75" t="str">
        <f>+'Balance Sheet'!DV7</f>
        <v>2Q21E</v>
      </c>
      <c r="DW8" s="75" t="str">
        <f>+'Balance Sheet'!DW7</f>
        <v>3Q21E</v>
      </c>
      <c r="DX8" s="75" t="str">
        <f>+'Balance Sheet'!DX7</f>
        <v>4Q21E</v>
      </c>
    </row>
    <row r="9" spans="1:128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95"/>
      <c r="R9" s="295"/>
      <c r="S9" s="294"/>
      <c r="T9" s="245"/>
      <c r="U9" s="294"/>
      <c r="V9" s="294"/>
      <c r="W9" s="294"/>
      <c r="X9" s="294"/>
      <c r="Y9" s="294"/>
      <c r="Z9" s="294"/>
      <c r="AA9" s="213"/>
      <c r="AB9" s="293"/>
      <c r="AC9" s="245"/>
      <c r="AD9" s="245"/>
      <c r="AE9" s="245"/>
      <c r="AF9" s="245"/>
      <c r="AG9" s="245"/>
      <c r="AH9" s="245"/>
      <c r="AI9" s="245"/>
      <c r="AJ9" s="245"/>
      <c r="AK9" s="245"/>
      <c r="AL9" s="245"/>
      <c r="AM9" s="245"/>
      <c r="AN9" s="245"/>
      <c r="AO9" s="245"/>
      <c r="AP9" s="245"/>
      <c r="AQ9" s="245"/>
      <c r="AR9" s="245"/>
      <c r="AS9" s="245"/>
      <c r="AT9" s="245"/>
      <c r="AU9" s="245"/>
      <c r="AV9" s="245"/>
      <c r="AW9" s="245"/>
      <c r="AX9" s="245"/>
      <c r="AY9" s="245"/>
      <c r="AZ9" s="245"/>
      <c r="BA9" s="245"/>
      <c r="BB9" s="245"/>
      <c r="BC9" s="245"/>
      <c r="BD9" s="245"/>
      <c r="BE9" s="245"/>
      <c r="BF9" s="245"/>
      <c r="BG9" s="245"/>
      <c r="BH9" s="245"/>
      <c r="BI9" s="245"/>
      <c r="BJ9" s="245"/>
      <c r="BK9" s="245"/>
      <c r="BL9" s="245"/>
      <c r="BM9" s="245"/>
      <c r="BN9" s="245"/>
      <c r="BO9" s="245"/>
      <c r="BP9" s="245"/>
      <c r="BQ9" s="245"/>
      <c r="BR9" s="245"/>
      <c r="BS9" s="245"/>
      <c r="BT9" s="245"/>
      <c r="BU9" s="245"/>
      <c r="BV9" s="245"/>
      <c r="BW9" s="245"/>
      <c r="BX9" s="245"/>
      <c r="BY9" s="245"/>
      <c r="BZ9" s="245"/>
      <c r="CA9" s="245"/>
      <c r="CB9" s="245"/>
      <c r="CC9" s="245"/>
      <c r="CD9" s="245"/>
      <c r="CE9" s="245"/>
      <c r="CF9" s="245"/>
      <c r="CG9" s="245"/>
      <c r="CH9" s="245"/>
      <c r="CI9" s="245"/>
      <c r="CJ9" s="245"/>
      <c r="CK9" s="245"/>
      <c r="CL9" s="245"/>
      <c r="CM9" s="245"/>
      <c r="CN9" s="245"/>
      <c r="CO9" s="245"/>
      <c r="CP9" s="245"/>
      <c r="CQ9" s="245"/>
      <c r="CR9" s="245"/>
      <c r="CS9" s="245"/>
      <c r="CT9" s="245"/>
      <c r="CU9" s="245"/>
      <c r="CV9" s="245"/>
      <c r="CW9" s="245"/>
      <c r="CX9" s="245"/>
      <c r="CY9" s="245"/>
      <c r="CZ9" s="245"/>
      <c r="DA9" s="245"/>
      <c r="DB9" s="245"/>
      <c r="DC9" s="245"/>
      <c r="DD9" s="245"/>
      <c r="DE9" s="245"/>
      <c r="DF9" s="245"/>
      <c r="DG9" s="245"/>
      <c r="DH9" s="245"/>
      <c r="DI9" s="245"/>
      <c r="DJ9" s="245"/>
      <c r="DK9" s="245"/>
      <c r="DL9" s="245"/>
      <c r="DM9" s="245"/>
      <c r="DN9" s="245"/>
      <c r="DO9" s="245"/>
      <c r="DP9" s="245"/>
      <c r="DQ9" s="245"/>
      <c r="DR9" s="245"/>
      <c r="DS9" s="245"/>
      <c r="DT9" s="245"/>
      <c r="DU9" s="245"/>
      <c r="DV9" s="245"/>
      <c r="DW9" s="245"/>
      <c r="DX9" s="245"/>
    </row>
    <row r="10" spans="1:128">
      <c r="A10" s="292" t="s">
        <v>271</v>
      </c>
      <c r="B10" s="290"/>
      <c r="C10" s="292"/>
      <c r="D10" s="289"/>
      <c r="E10" s="289"/>
      <c r="F10" s="289"/>
      <c r="G10" s="289"/>
      <c r="H10" s="289"/>
      <c r="I10" s="289"/>
      <c r="J10" s="288"/>
      <c r="K10" s="288"/>
      <c r="L10" s="288"/>
      <c r="M10" s="288"/>
      <c r="N10" s="288"/>
      <c r="O10" s="288"/>
      <c r="P10" s="288"/>
      <c r="Q10" s="288"/>
      <c r="R10" s="288"/>
      <c r="S10" s="292"/>
      <c r="T10" s="292"/>
      <c r="U10" s="291"/>
      <c r="V10" s="291"/>
      <c r="W10" s="291"/>
      <c r="X10" s="291"/>
      <c r="Y10" s="291"/>
      <c r="Z10" s="291"/>
      <c r="AA10" s="213"/>
      <c r="AB10" s="292" t="s">
        <v>271</v>
      </c>
      <c r="AC10" s="290"/>
      <c r="AD10" s="290"/>
      <c r="AE10" s="290"/>
      <c r="AF10" s="290"/>
      <c r="AG10" s="290"/>
      <c r="AH10" s="290"/>
      <c r="AI10" s="290"/>
      <c r="AJ10" s="289"/>
      <c r="AK10" s="289"/>
      <c r="AL10" s="289"/>
      <c r="AM10" s="289"/>
      <c r="AN10" s="535"/>
      <c r="AO10" s="536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8"/>
      <c r="CR10" s="288"/>
      <c r="CS10" s="288"/>
      <c r="CT10" s="288"/>
      <c r="CU10" s="288"/>
      <c r="CV10" s="288"/>
      <c r="CW10" s="288"/>
      <c r="CX10" s="288"/>
      <c r="CY10" s="288"/>
      <c r="CZ10" s="288"/>
      <c r="DA10" s="288"/>
      <c r="DB10" s="288"/>
      <c r="DC10" s="288"/>
      <c r="DD10" s="288"/>
      <c r="DE10" s="288"/>
      <c r="DF10" s="288"/>
      <c r="DG10" s="288"/>
      <c r="DH10" s="288"/>
      <c r="DI10" s="288"/>
      <c r="DJ10" s="288"/>
      <c r="DK10" s="288"/>
      <c r="DL10" s="288"/>
      <c r="DM10" s="288"/>
      <c r="DN10" s="288"/>
      <c r="DO10" s="288"/>
      <c r="DP10" s="288"/>
      <c r="DQ10" s="288"/>
      <c r="DR10" s="288"/>
      <c r="DS10" s="288"/>
      <c r="DT10" s="288"/>
      <c r="DU10" s="288"/>
      <c r="DV10" s="288"/>
      <c r="DW10" s="288"/>
      <c r="DX10" s="288"/>
    </row>
    <row r="11" spans="1:128" s="213" customFormat="1" ht="10.199999999999999">
      <c r="A11" s="284" t="s">
        <v>270</v>
      </c>
      <c r="B11" s="537"/>
      <c r="C11" s="284"/>
      <c r="D11" s="540"/>
      <c r="E11" s="540"/>
      <c r="F11" s="540"/>
      <c r="G11" s="540"/>
      <c r="H11" s="540"/>
      <c r="I11" s="540"/>
      <c r="J11" s="540">
        <v>6.4496931107669297E-2</v>
      </c>
      <c r="K11" s="540">
        <v>7.8718703480422203E-2</v>
      </c>
      <c r="L11" s="540">
        <v>8.9052767639427904E-2</v>
      </c>
      <c r="M11" s="540">
        <v>9.8037405630167204E-2</v>
      </c>
      <c r="N11" s="540">
        <v>8.6169938899864889E-3</v>
      </c>
      <c r="O11" s="540">
        <v>8.7616454100452698E-2</v>
      </c>
      <c r="P11" s="540">
        <v>6.5100000000000005E-2</v>
      </c>
      <c r="Q11" s="540">
        <v>5.5899999999999998E-2</v>
      </c>
      <c r="R11" s="540">
        <v>5.5800000000000002E-2</v>
      </c>
      <c r="S11" s="540">
        <v>2.4E-2</v>
      </c>
      <c r="T11" s="540">
        <v>2.8000000000000001E-2</v>
      </c>
      <c r="U11" s="544">
        <v>3.5000000000000003E-2</v>
      </c>
      <c r="V11" s="544">
        <v>4.2000000000000003E-2</v>
      </c>
      <c r="W11" s="544">
        <v>4.2999999999999997E-2</v>
      </c>
      <c r="X11" s="593">
        <v>4.4999999999999998E-2</v>
      </c>
      <c r="Y11" s="593">
        <f>+DT11</f>
        <v>0.05</v>
      </c>
      <c r="Z11" s="593">
        <f>+DX11</f>
        <v>0.05</v>
      </c>
      <c r="AB11" s="284" t="s">
        <v>270</v>
      </c>
      <c r="AC11" s="537"/>
      <c r="AD11" s="537"/>
      <c r="AE11" s="537"/>
      <c r="AF11" s="540"/>
      <c r="AG11" s="540"/>
      <c r="AH11" s="540"/>
      <c r="AI11" s="540"/>
      <c r="AJ11" s="540"/>
      <c r="AK11" s="540"/>
      <c r="AL11" s="540"/>
      <c r="AM11" s="540"/>
      <c r="AN11" s="540">
        <v>3.6999999999999998E-2</v>
      </c>
      <c r="AO11" s="540">
        <v>3.4200000000000001E-2</v>
      </c>
      <c r="AP11" s="540">
        <v>4.5199999999999997E-2</v>
      </c>
      <c r="AQ11" s="540">
        <v>4.8000000000000001E-2</v>
      </c>
      <c r="AR11" s="540">
        <v>3.7999999999999999E-2</v>
      </c>
      <c r="AS11" s="540">
        <v>4.2999999999999997E-2</v>
      </c>
      <c r="AT11" s="540">
        <v>5.0000000000000001E-3</v>
      </c>
      <c r="AU11" s="540">
        <v>1.4999999999999999E-2</v>
      </c>
      <c r="AV11" s="540">
        <v>0.01</v>
      </c>
      <c r="AW11" s="540">
        <v>0.01</v>
      </c>
      <c r="AX11" s="540">
        <v>1.7000000000000001E-2</v>
      </c>
      <c r="AY11" s="540">
        <v>1.7000000000000001E-2</v>
      </c>
      <c r="AZ11" s="540">
        <v>1.7999999999999999E-2</v>
      </c>
      <c r="BA11" s="540">
        <v>1.7000000000000001E-2</v>
      </c>
      <c r="BB11" s="540">
        <v>0.01</v>
      </c>
      <c r="BC11" s="540">
        <v>-2E-3</v>
      </c>
      <c r="BD11" s="540">
        <v>3.2000000000000001E-2</v>
      </c>
      <c r="BE11" s="540">
        <v>3.2000000000000001E-2</v>
      </c>
      <c r="BF11" s="540">
        <v>3.2000000000000001E-2</v>
      </c>
      <c r="BG11" s="540">
        <v>0.05</v>
      </c>
      <c r="BH11" s="540">
        <v>5.8509167971989406E-2</v>
      </c>
      <c r="BI11" s="540">
        <v>5.8907774204880206E-2</v>
      </c>
      <c r="BJ11" s="540">
        <v>6.2996511593820498E-2</v>
      </c>
      <c r="BK11" s="540">
        <v>7.7155232639374099E-2</v>
      </c>
      <c r="BL11" s="540">
        <v>8.2433844011142093E-2</v>
      </c>
      <c r="BM11" s="540">
        <v>6.3293949524077006E-2</v>
      </c>
      <c r="BN11" s="540">
        <v>8.5789531741216701E-2</v>
      </c>
      <c r="BO11" s="540">
        <v>8.4426399626420498E-2</v>
      </c>
      <c r="BP11" s="540">
        <v>8.5822275834338602E-2</v>
      </c>
      <c r="BQ11" s="540">
        <v>8.1764357181770803E-2</v>
      </c>
      <c r="BR11" s="540">
        <v>8.99019376271495E-2</v>
      </c>
      <c r="BS11" s="540">
        <v>9.8401207646834993E-2</v>
      </c>
      <c r="BT11" s="540">
        <v>0.10292149921247401</v>
      </c>
      <c r="BU11" s="540">
        <v>0.116982664140462</v>
      </c>
      <c r="BV11" s="540">
        <v>0.108877113015758</v>
      </c>
      <c r="BW11" s="540">
        <v>6.4998312043298909E-2</v>
      </c>
      <c r="BX11" s="540">
        <v>1.9008138670773399E-2</v>
      </c>
      <c r="BY11" s="540">
        <v>-1.1984801507931998E-2</v>
      </c>
      <c r="BZ11" s="540">
        <v>-5.8758258939830598E-3</v>
      </c>
      <c r="CA11" s="540">
        <v>3.4439177222697098E-2</v>
      </c>
      <c r="CB11" s="540">
        <v>6.1832232102063005E-2</v>
      </c>
      <c r="CC11" s="540">
        <v>9.9966427909464098E-2</v>
      </c>
      <c r="CD11" s="540">
        <v>9.4689378757515111E-2</v>
      </c>
      <c r="CE11" s="540">
        <v>9.2062757750811491E-2</v>
      </c>
      <c r="CF11" s="540">
        <v>8.5530112929951899E-2</v>
      </c>
      <c r="CG11" s="540">
        <v>8.5530112929951899E-2</v>
      </c>
      <c r="CH11" s="540">
        <v>6.8549831494761904E-2</v>
      </c>
      <c r="CI11" s="540">
        <v>6.6303623671175801E-2</v>
      </c>
      <c r="CJ11" s="540">
        <v>5.6058727155878597E-2</v>
      </c>
      <c r="CK11" s="540">
        <v>6.0930895563915205E-2</v>
      </c>
      <c r="CL11" s="540">
        <v>6.3813557002900798E-2</v>
      </c>
      <c r="CM11" s="540">
        <v>6.7161070665362699E-2</v>
      </c>
      <c r="CN11" s="540">
        <v>5.9398201083052903E-2</v>
      </c>
      <c r="CO11" s="540">
        <v>4.7E-2</v>
      </c>
      <c r="CP11" s="540">
        <v>6.1800000000000001E-2</v>
      </c>
      <c r="CQ11" s="540">
        <v>5.1400000000000001E-2</v>
      </c>
      <c r="CR11" s="540">
        <v>6.6699999999999995E-2</v>
      </c>
      <c r="CS11" s="540">
        <v>5.1400000000000001E-2</v>
      </c>
      <c r="CT11" s="540">
        <v>1.72E-2</v>
      </c>
      <c r="CU11" s="540">
        <v>1.7500000000000002E-2</v>
      </c>
      <c r="CV11" s="540">
        <v>1.06E-2</v>
      </c>
      <c r="CW11" s="540">
        <v>1.7000000000000001E-2</v>
      </c>
      <c r="CX11" s="540">
        <v>0.03</v>
      </c>
      <c r="CY11" s="540">
        <v>2.8999999999999998E-2</v>
      </c>
      <c r="CZ11" s="540">
        <v>3.4000000000000002E-2</v>
      </c>
      <c r="DA11" s="544">
        <v>3.4000000000000002E-2</v>
      </c>
      <c r="DB11" s="544">
        <v>3.5999999999999997E-2</v>
      </c>
      <c r="DC11" s="544">
        <v>3.7999999999999999E-2</v>
      </c>
      <c r="DD11" s="544">
        <v>3.5000000000000003E-2</v>
      </c>
      <c r="DE11" s="544">
        <v>3.7999999999999999E-2</v>
      </c>
      <c r="DF11" s="544">
        <v>0.04</v>
      </c>
      <c r="DG11" s="544">
        <v>4.0999999999999995E-2</v>
      </c>
      <c r="DH11" s="544">
        <v>4.0999999999999995E-2</v>
      </c>
      <c r="DI11" s="544">
        <v>4.2000000000000003E-2</v>
      </c>
      <c r="DJ11" s="544">
        <v>4.2999999999999997E-2</v>
      </c>
      <c r="DK11" s="544">
        <v>4.3999999999999997E-2</v>
      </c>
      <c r="DL11" s="544">
        <v>4.4999999999999998E-2</v>
      </c>
      <c r="DM11" s="544">
        <v>4.4999999999999998E-2</v>
      </c>
      <c r="DN11" s="544">
        <v>4.4999999999999998E-2</v>
      </c>
      <c r="DO11" s="544">
        <v>4.4999999999999998E-2</v>
      </c>
      <c r="DP11" s="544">
        <v>4.7500000000000001E-2</v>
      </c>
      <c r="DQ11" s="544">
        <v>0.05</v>
      </c>
      <c r="DR11" s="544">
        <v>0.05</v>
      </c>
      <c r="DS11" s="544">
        <v>0.05</v>
      </c>
      <c r="DT11" s="544">
        <v>0.05</v>
      </c>
      <c r="DU11" s="544">
        <v>0.05</v>
      </c>
      <c r="DV11" s="544">
        <v>0.05</v>
      </c>
      <c r="DW11" s="544">
        <v>0.05</v>
      </c>
      <c r="DX11" s="544">
        <v>0.05</v>
      </c>
    </row>
    <row r="12" spans="1:128" s="213" customFormat="1" ht="10.199999999999999">
      <c r="A12" s="284" t="s">
        <v>269</v>
      </c>
      <c r="B12" s="542"/>
      <c r="C12" s="286"/>
      <c r="D12" s="537"/>
      <c r="E12" s="537"/>
      <c r="F12" s="285"/>
      <c r="G12" s="285"/>
      <c r="H12" s="535"/>
      <c r="I12" s="285"/>
      <c r="J12" s="538">
        <v>3.2500000000000001E-2</v>
      </c>
      <c r="K12" s="538">
        <v>4.4999999999999998E-2</v>
      </c>
      <c r="L12" s="538">
        <v>0.05</v>
      </c>
      <c r="M12" s="538">
        <v>6.5000000000000002E-2</v>
      </c>
      <c r="N12" s="538">
        <v>1.2500000000000001E-2</v>
      </c>
      <c r="O12" s="538">
        <v>0.03</v>
      </c>
      <c r="P12" s="538">
        <v>4.2500000000000003E-2</v>
      </c>
      <c r="Q12" s="538">
        <v>4.2500000000000003E-2</v>
      </c>
      <c r="R12" s="538">
        <v>0.04</v>
      </c>
      <c r="S12" s="540">
        <v>3.5000000000000003E-2</v>
      </c>
      <c r="T12" s="540">
        <f>+CZ12</f>
        <v>3.7499999999999999E-2</v>
      </c>
      <c r="U12" s="544">
        <f>+DD12</f>
        <v>4.2999999999999997E-2</v>
      </c>
      <c r="V12" s="539">
        <f>+DH12</f>
        <v>0.04</v>
      </c>
      <c r="W12" s="539">
        <f>+DL12</f>
        <v>0.04</v>
      </c>
      <c r="X12" s="593">
        <f>+DP12</f>
        <v>0.04</v>
      </c>
      <c r="Y12" s="593">
        <f>+DT12</f>
        <v>0.04</v>
      </c>
      <c r="Z12" s="593">
        <f>+DX12</f>
        <v>0.04</v>
      </c>
      <c r="AB12" s="287" t="s">
        <v>269</v>
      </c>
      <c r="AC12" s="542"/>
      <c r="AD12" s="542"/>
      <c r="AE12" s="542"/>
      <c r="AF12" s="535"/>
      <c r="AG12" s="535"/>
      <c r="AH12" s="535"/>
      <c r="AI12" s="535"/>
      <c r="AJ12" s="535">
        <v>0.40465000000000001</v>
      </c>
      <c r="AK12" s="535">
        <v>0.22149999999999997</v>
      </c>
      <c r="AL12" s="535">
        <v>0.19255000000000003</v>
      </c>
      <c r="AM12" s="535">
        <v>0.19034999999999999</v>
      </c>
      <c r="AN12" s="540">
        <v>0.186</v>
      </c>
      <c r="AO12" s="540">
        <v>0.17299999999999999</v>
      </c>
      <c r="AP12" s="540">
        <v>0.16600000000000001</v>
      </c>
      <c r="AQ12" s="540">
        <v>0.158</v>
      </c>
      <c r="AR12" s="543">
        <v>0.1575</v>
      </c>
      <c r="AS12" s="543">
        <v>0.1825</v>
      </c>
      <c r="AT12" s="543">
        <v>0.19</v>
      </c>
      <c r="AU12" s="543">
        <v>0.19</v>
      </c>
      <c r="AV12" s="543">
        <v>0.185</v>
      </c>
      <c r="AW12" s="543">
        <v>0.18</v>
      </c>
      <c r="AX12" s="543">
        <v>0.18</v>
      </c>
      <c r="AY12" s="543">
        <v>0.25</v>
      </c>
      <c r="AZ12" s="543">
        <v>0.26500000000000001</v>
      </c>
      <c r="BA12" s="543">
        <v>0.26</v>
      </c>
      <c r="BB12" s="543">
        <v>0.2</v>
      </c>
      <c r="BC12" s="543">
        <v>0.16500000000000001</v>
      </c>
      <c r="BD12" s="543">
        <v>0.16250000000000001</v>
      </c>
      <c r="BE12" s="543">
        <v>0.1575</v>
      </c>
      <c r="BF12" s="543">
        <v>0.16200000000000001</v>
      </c>
      <c r="BG12" s="543">
        <v>0.17749999999999999</v>
      </c>
      <c r="BH12" s="543">
        <v>2.8999999999999998E-2</v>
      </c>
      <c r="BI12" s="541">
        <v>0.03</v>
      </c>
      <c r="BJ12" s="541">
        <v>0.03</v>
      </c>
      <c r="BK12" s="541">
        <v>3.2500000000000001E-2</v>
      </c>
      <c r="BL12" s="541">
        <v>0.04</v>
      </c>
      <c r="BM12" s="541">
        <v>4.4999999999999998E-2</v>
      </c>
      <c r="BN12" s="541">
        <v>4.4999999999999998E-2</v>
      </c>
      <c r="BO12" s="541">
        <v>4.4999999999999998E-2</v>
      </c>
      <c r="BP12" s="541">
        <v>4.4999999999999998E-2</v>
      </c>
      <c r="BQ12" s="541">
        <v>4.4999999999999998E-2</v>
      </c>
      <c r="BR12" s="541">
        <v>0.05</v>
      </c>
      <c r="BS12" s="541">
        <v>0.05</v>
      </c>
      <c r="BT12" s="541">
        <v>5.2499999999999998E-2</v>
      </c>
      <c r="BU12" s="541">
        <v>5.7500000000000002E-2</v>
      </c>
      <c r="BV12" s="541">
        <v>6.5000000000000002E-2</v>
      </c>
      <c r="BW12" s="541">
        <v>6.5000000000000002E-2</v>
      </c>
      <c r="BX12" s="541">
        <v>0.06</v>
      </c>
      <c r="BY12" s="541">
        <v>0.03</v>
      </c>
      <c r="BZ12" s="541">
        <v>1.2500000000000001E-2</v>
      </c>
      <c r="CA12" s="541">
        <v>1.2500000000000001E-2</v>
      </c>
      <c r="CB12" s="541">
        <v>1.2500000000000001E-2</v>
      </c>
      <c r="CC12" s="541">
        <v>1.7500000000000002E-2</v>
      </c>
      <c r="CD12" s="541">
        <v>0.03</v>
      </c>
      <c r="CE12" s="541">
        <v>0.03</v>
      </c>
      <c r="CF12" s="541">
        <v>3.7499999999999999E-2</v>
      </c>
      <c r="CG12" s="541">
        <v>3.7499999999999999E-2</v>
      </c>
      <c r="CH12" s="541">
        <v>4.2500000000000003E-2</v>
      </c>
      <c r="CI12" s="541">
        <v>4.2500000000000003E-2</v>
      </c>
      <c r="CJ12" s="541">
        <v>4.2500000000000003E-2</v>
      </c>
      <c r="CK12" s="541">
        <v>4.2500000000000003E-2</v>
      </c>
      <c r="CL12" s="541">
        <v>4.2500000000000003E-2</v>
      </c>
      <c r="CM12" s="541">
        <v>4.2500000000000003E-2</v>
      </c>
      <c r="CN12" s="541">
        <v>4.2500000000000003E-2</v>
      </c>
      <c r="CO12" s="541">
        <v>4.2500000000000003E-2</v>
      </c>
      <c r="CP12" s="541">
        <v>4.2500000000000003E-2</v>
      </c>
      <c r="CQ12" s="541">
        <v>4.2500000000000003E-2</v>
      </c>
      <c r="CR12" s="541">
        <v>0.04</v>
      </c>
      <c r="CS12" s="541">
        <v>0.04</v>
      </c>
      <c r="CT12" s="541">
        <v>3.9662999999999997E-2</v>
      </c>
      <c r="CU12" s="541">
        <v>3.5000000000000003E-2</v>
      </c>
      <c r="CV12" s="541">
        <v>3.5000000000000003E-2</v>
      </c>
      <c r="CW12" s="541">
        <v>3.2500000000000001E-2</v>
      </c>
      <c r="CX12" s="540">
        <v>3.5000000000000003E-2</v>
      </c>
      <c r="CY12" s="540">
        <v>3.5000000000000003E-2</v>
      </c>
      <c r="CZ12" s="540">
        <v>3.7499999999999999E-2</v>
      </c>
      <c r="DA12" s="544">
        <v>4.0500000000000001E-2</v>
      </c>
      <c r="DB12" s="544">
        <v>4.1500000000000002E-2</v>
      </c>
      <c r="DC12" s="544">
        <v>4.2500000000000003E-2</v>
      </c>
      <c r="DD12" s="544">
        <v>4.2999999999999997E-2</v>
      </c>
      <c r="DE12" s="544">
        <v>4.1500000000000002E-2</v>
      </c>
      <c r="DF12" s="544">
        <v>0.04</v>
      </c>
      <c r="DG12" s="544">
        <v>0.04</v>
      </c>
      <c r="DH12" s="544">
        <v>0.04</v>
      </c>
      <c r="DI12" s="544">
        <v>0.04</v>
      </c>
      <c r="DJ12" s="544">
        <v>0.04</v>
      </c>
      <c r="DK12" s="544">
        <v>0.04</v>
      </c>
      <c r="DL12" s="544">
        <v>0.04</v>
      </c>
      <c r="DM12" s="544">
        <v>0.04</v>
      </c>
      <c r="DN12" s="544">
        <v>0.04</v>
      </c>
      <c r="DO12" s="544">
        <v>0.04</v>
      </c>
      <c r="DP12" s="544">
        <v>0.04</v>
      </c>
      <c r="DQ12" s="544">
        <v>0.04</v>
      </c>
      <c r="DR12" s="544">
        <v>0.04</v>
      </c>
      <c r="DS12" s="544">
        <v>0.04</v>
      </c>
      <c r="DT12" s="544">
        <v>0.04</v>
      </c>
      <c r="DU12" s="544">
        <v>0.04</v>
      </c>
      <c r="DV12" s="544">
        <v>0.04</v>
      </c>
      <c r="DW12" s="544">
        <v>0.04</v>
      </c>
      <c r="DX12" s="544">
        <v>0.04</v>
      </c>
    </row>
    <row r="13" spans="1:128" s="213" customFormat="1" ht="10.199999999999999">
      <c r="A13" s="284" t="s">
        <v>268</v>
      </c>
      <c r="B13" s="537"/>
      <c r="C13" s="284"/>
      <c r="D13" s="540"/>
      <c r="E13" s="540"/>
      <c r="F13" s="540"/>
      <c r="G13" s="540"/>
      <c r="H13" s="540"/>
      <c r="I13" s="540"/>
      <c r="J13" s="540">
        <v>1.49424973054513E-2</v>
      </c>
      <c r="K13" s="540">
        <v>1.1375002385461299E-2</v>
      </c>
      <c r="L13" s="540">
        <v>3.9276493818719602E-2</v>
      </c>
      <c r="M13" s="540">
        <v>6.6502052690712299E-2</v>
      </c>
      <c r="N13" s="540">
        <v>2.4534348087321702E-3</v>
      </c>
      <c r="O13" s="540">
        <v>2.07641975925279E-2</v>
      </c>
      <c r="P13" s="540">
        <v>3.3700000000000001E-2</v>
      </c>
      <c r="Q13" s="540">
        <v>3.6600000000000001E-2</v>
      </c>
      <c r="R13" s="540">
        <v>2.81E-2</v>
      </c>
      <c r="S13" s="540">
        <v>3.2000000000000001E-2</v>
      </c>
      <c r="T13" s="540">
        <v>3.510433172816585E-2</v>
      </c>
      <c r="U13" s="544">
        <v>3.4000000000000002E-2</v>
      </c>
      <c r="V13" s="544">
        <v>0.03</v>
      </c>
      <c r="W13" s="544">
        <v>0.03</v>
      </c>
      <c r="X13" s="544">
        <v>0.03</v>
      </c>
      <c r="Y13" s="544">
        <f>+DT13</f>
        <v>0.03</v>
      </c>
      <c r="Z13" s="544">
        <f>+DX13</f>
        <v>0.03</v>
      </c>
      <c r="AB13" s="284" t="s">
        <v>268</v>
      </c>
      <c r="AC13" s="537"/>
      <c r="AD13" s="537"/>
      <c r="AE13" s="537"/>
      <c r="AF13" s="540"/>
      <c r="AG13" s="540"/>
      <c r="AH13" s="540"/>
      <c r="AI13" s="540"/>
      <c r="AJ13" s="540">
        <v>3.0164315380051487E-2</v>
      </c>
      <c r="AK13" s="540">
        <v>3.315954474204319E-2</v>
      </c>
      <c r="AL13" s="540">
        <v>6.2529813906236908E-2</v>
      </c>
      <c r="AM13" s="540">
        <v>8.9400876151079833E-2</v>
      </c>
      <c r="AN13" s="540">
        <v>6.9000000000000006E-2</v>
      </c>
      <c r="AO13" s="540">
        <v>6.5000000000000002E-2</v>
      </c>
      <c r="AP13" s="540">
        <v>7.8E-2</v>
      </c>
      <c r="AQ13" s="540">
        <v>6.3E-2</v>
      </c>
      <c r="AR13" s="540">
        <v>6.4399999999999999E-2</v>
      </c>
      <c r="AS13" s="540">
        <v>7.3499999999999996E-2</v>
      </c>
      <c r="AT13" s="540">
        <v>6.4600000000000005E-2</v>
      </c>
      <c r="AU13" s="540">
        <v>7.6999999999999999E-2</v>
      </c>
      <c r="AV13" s="540">
        <v>7.7499999999999999E-2</v>
      </c>
      <c r="AW13" s="540">
        <v>7.6600000000000001E-2</v>
      </c>
      <c r="AX13" s="540">
        <v>7.9299999999999995E-2</v>
      </c>
      <c r="AY13" s="540">
        <v>0.125</v>
      </c>
      <c r="AZ13" s="540">
        <v>0.16</v>
      </c>
      <c r="BA13" s="540">
        <v>0.16569999999999999</v>
      </c>
      <c r="BB13" s="540">
        <v>0.13</v>
      </c>
      <c r="BC13" s="540">
        <v>9.1999999999999998E-2</v>
      </c>
      <c r="BD13" s="540">
        <v>5.8900000000000001E-2</v>
      </c>
      <c r="BE13" s="540">
        <v>6.0600000000000001E-2</v>
      </c>
      <c r="BF13" s="540">
        <v>6.7000000000000004E-2</v>
      </c>
      <c r="BG13" s="540">
        <v>7.5999999999999998E-2</v>
      </c>
      <c r="BH13" s="540">
        <v>1.8769898413438998E-2</v>
      </c>
      <c r="BI13" s="540">
        <v>1.48616385457225E-2</v>
      </c>
      <c r="BJ13" s="540">
        <v>1.1117380716318702E-2</v>
      </c>
      <c r="BK13" s="540">
        <v>1.49424973054513E-2</v>
      </c>
      <c r="BL13" s="540">
        <v>2.50188446127078E-2</v>
      </c>
      <c r="BM13" s="540">
        <v>1.8259613335122701E-2</v>
      </c>
      <c r="BN13" s="540">
        <v>1.9947831529051302E-2</v>
      </c>
      <c r="BO13" s="540">
        <v>1.1375002385461299E-2</v>
      </c>
      <c r="BP13" s="540">
        <v>2.4693487797569098E-3</v>
      </c>
      <c r="BQ13" s="540">
        <v>1.54911607239767E-2</v>
      </c>
      <c r="BR13" s="540">
        <v>2.8014092884112596E-2</v>
      </c>
      <c r="BS13" s="540">
        <v>3.9276493818719602E-2</v>
      </c>
      <c r="BT13" s="540">
        <v>5.5451617173366101E-2</v>
      </c>
      <c r="BU13" s="540">
        <v>5.7060342091572493E-2</v>
      </c>
      <c r="BV13" s="540">
        <v>6.2215566281675495E-2</v>
      </c>
      <c r="BW13" s="540">
        <v>6.6502052690712299E-2</v>
      </c>
      <c r="BX13" s="540">
        <v>4.7783835081543602E-2</v>
      </c>
      <c r="BY13" s="540">
        <v>3.0598210702151397E-2</v>
      </c>
      <c r="BZ13" s="540">
        <v>1.2044758830963599E-2</v>
      </c>
      <c r="CA13" s="540">
        <v>2.4534348087321702E-3</v>
      </c>
      <c r="CB13" s="540">
        <v>7.5530644673804702E-3</v>
      </c>
      <c r="CC13" s="540">
        <v>1.6433685099958698E-2</v>
      </c>
      <c r="CD13" s="540">
        <v>2.3654489311782899E-2</v>
      </c>
      <c r="CE13" s="540">
        <v>2.07641975925279E-2</v>
      </c>
      <c r="CF13" s="540">
        <v>2.6633560345279902E-2</v>
      </c>
      <c r="CG13" s="540">
        <v>2.6633560345279902E-2</v>
      </c>
      <c r="CH13" s="540">
        <v>2.91072986906049E-2</v>
      </c>
      <c r="CI13" s="540">
        <v>3.7263200973581802E-2</v>
      </c>
      <c r="CJ13" s="540">
        <v>4.7384316074203597E-2</v>
      </c>
      <c r="CK13" s="540">
        <v>4.2315143671870503E-2</v>
      </c>
      <c r="CL13" s="540">
        <v>4.0010336609783301E-2</v>
      </c>
      <c r="CM13" s="540">
        <v>3.7411167943910202E-2</v>
      </c>
      <c r="CN13" s="540">
        <v>2.64936860841576E-2</v>
      </c>
      <c r="CO13" s="540">
        <v>2.64E-2</v>
      </c>
      <c r="CP13" s="540">
        <v>2.5100000000000001E-2</v>
      </c>
      <c r="CQ13" s="540">
        <v>3.1199999999999999E-2</v>
      </c>
      <c r="CR13" s="540">
        <v>2.9499999999999998E-2</v>
      </c>
      <c r="CS13" s="540">
        <v>3.4099999999999998E-2</v>
      </c>
      <c r="CT13" s="540">
        <v>3.5099999999999999E-2</v>
      </c>
      <c r="CU13" s="540">
        <v>2.92E-2</v>
      </c>
      <c r="CV13" s="540">
        <v>3.1600000000000003E-2</v>
      </c>
      <c r="CW13" s="540">
        <v>2.9499999999999998E-2</v>
      </c>
      <c r="CX13" s="540">
        <v>3.3000000000000002E-2</v>
      </c>
      <c r="CY13" s="540">
        <v>3.7999999999999999E-2</v>
      </c>
      <c r="CZ13" s="540">
        <v>4.1000000000000002E-2</v>
      </c>
      <c r="DA13" s="544">
        <v>3.6999999999999998E-2</v>
      </c>
      <c r="DB13" s="544">
        <v>3.4000000000000002E-2</v>
      </c>
      <c r="DC13" s="544">
        <v>3.2000000000000001E-2</v>
      </c>
      <c r="DD13" s="544">
        <v>3.1E-2</v>
      </c>
      <c r="DE13" s="544">
        <v>3.1E-2</v>
      </c>
      <c r="DF13" s="544">
        <v>2.8999999999999998E-2</v>
      </c>
      <c r="DG13" s="544">
        <v>2.8999999999999998E-2</v>
      </c>
      <c r="DH13" s="544">
        <v>0.03</v>
      </c>
      <c r="DI13" s="544">
        <v>0.03</v>
      </c>
      <c r="DJ13" s="544">
        <v>0.03</v>
      </c>
      <c r="DK13" s="544">
        <v>0.03</v>
      </c>
      <c r="DL13" s="544">
        <v>0.03</v>
      </c>
      <c r="DM13" s="544">
        <v>0.03</v>
      </c>
      <c r="DN13" s="544">
        <v>0.03</v>
      </c>
      <c r="DO13" s="544">
        <v>0.03</v>
      </c>
      <c r="DP13" s="544">
        <v>0.03</v>
      </c>
      <c r="DQ13" s="544">
        <v>0.03</v>
      </c>
      <c r="DR13" s="544">
        <v>0.03</v>
      </c>
      <c r="DS13" s="544">
        <v>0.03</v>
      </c>
      <c r="DT13" s="544">
        <v>0.03</v>
      </c>
      <c r="DU13" s="544">
        <v>0.03</v>
      </c>
      <c r="DV13" s="544">
        <v>0.03</v>
      </c>
      <c r="DW13" s="544">
        <v>0.03</v>
      </c>
      <c r="DX13" s="544">
        <v>0.03</v>
      </c>
    </row>
    <row r="14" spans="1:128" s="213" customFormat="1" ht="10.199999999999999">
      <c r="A14" s="284" t="s">
        <v>267</v>
      </c>
      <c r="B14" s="537"/>
      <c r="C14" s="284"/>
      <c r="D14" s="540"/>
      <c r="E14" s="540"/>
      <c r="F14" s="540"/>
      <c r="G14" s="540"/>
      <c r="H14" s="540"/>
      <c r="I14" s="540"/>
      <c r="J14" s="540">
        <v>1.49424973054513E-2</v>
      </c>
      <c r="K14" s="540">
        <v>1.1375002385461299E-2</v>
      </c>
      <c r="L14" s="540">
        <v>3.9276493818719602E-2</v>
      </c>
      <c r="M14" s="540">
        <v>6.6502052690712299E-2</v>
      </c>
      <c r="N14" s="540">
        <v>2.4534348087321702E-3</v>
      </c>
      <c r="O14" s="540">
        <v>2.07641975925279E-2</v>
      </c>
      <c r="P14" s="540">
        <v>3.3700000000000001E-2</v>
      </c>
      <c r="Q14" s="540">
        <v>3.6600000000000001E-2</v>
      </c>
      <c r="R14" s="540">
        <v>2.81E-2</v>
      </c>
      <c r="S14" s="540">
        <f t="shared" ref="S14:T14" si="0">S13</f>
        <v>3.2000000000000001E-2</v>
      </c>
      <c r="T14" s="540">
        <f t="shared" si="0"/>
        <v>3.510433172816585E-2</v>
      </c>
      <c r="U14" s="544">
        <f>U13</f>
        <v>3.4000000000000002E-2</v>
      </c>
      <c r="V14" s="544">
        <f t="shared" ref="V14:Z14" si="1">V13</f>
        <v>0.03</v>
      </c>
      <c r="W14" s="544">
        <f t="shared" si="1"/>
        <v>0.03</v>
      </c>
      <c r="X14" s="544">
        <f t="shared" si="1"/>
        <v>0.03</v>
      </c>
      <c r="Y14" s="544">
        <f t="shared" si="1"/>
        <v>0.03</v>
      </c>
      <c r="Z14" s="544">
        <f t="shared" si="1"/>
        <v>0.03</v>
      </c>
      <c r="AB14" s="284" t="s">
        <v>267</v>
      </c>
      <c r="AC14" s="537"/>
      <c r="AD14" s="537"/>
      <c r="AE14" s="537"/>
      <c r="AF14" s="540">
        <v>-1.5056711680011547E-3</v>
      </c>
      <c r="AG14" s="540">
        <v>1.335396125600008E-2</v>
      </c>
      <c r="AH14" s="540">
        <v>-2.4106688200000059E-2</v>
      </c>
      <c r="AI14" s="540">
        <v>-5.3958389439997534E-3</v>
      </c>
      <c r="AJ14" s="540">
        <v>2.4877854799999932E-2</v>
      </c>
      <c r="AK14" s="540">
        <v>1.8182391199972336E-4</v>
      </c>
      <c r="AL14" s="540">
        <v>2.7647924006000135E-2</v>
      </c>
      <c r="AM14" s="540">
        <v>3.1295949475999896E-2</v>
      </c>
      <c r="AN14" s="540">
        <v>5.694679847000117E-3</v>
      </c>
      <c r="AO14" s="540">
        <v>1.5074119999999747E-2</v>
      </c>
      <c r="AP14" s="540">
        <v>2.114029999999989E-2</v>
      </c>
      <c r="AQ14" s="540">
        <v>1.972705097833316E-2</v>
      </c>
      <c r="AR14" s="540">
        <v>7.0192071769963338E-3</v>
      </c>
      <c r="AS14" s="540">
        <v>2.3752412457722194E-2</v>
      </c>
      <c r="AT14" s="540">
        <v>1.2674395323707621E-2</v>
      </c>
      <c r="AU14" s="540">
        <v>3.1604390290874029E-2</v>
      </c>
      <c r="AV14" s="540">
        <v>7.4867184152402899E-3</v>
      </c>
      <c r="AW14" s="540">
        <v>2.2897306034323606E-2</v>
      </c>
      <c r="AX14" s="540">
        <v>1.5214076604939342E-2</v>
      </c>
      <c r="AY14" s="540">
        <v>7.5284850437536743E-2</v>
      </c>
      <c r="AZ14" s="540">
        <v>0.05</v>
      </c>
      <c r="BA14" s="540">
        <v>1.4300000000000002E-2</v>
      </c>
      <c r="BB14" s="540">
        <v>1.4E-2</v>
      </c>
      <c r="BC14" s="540">
        <v>1.4E-2</v>
      </c>
      <c r="BD14" s="540">
        <v>1.4E-2</v>
      </c>
      <c r="BE14" s="540">
        <v>2.9573881041687899E-2</v>
      </c>
      <c r="BF14" s="540">
        <v>1.4E-2</v>
      </c>
      <c r="BG14" s="540">
        <v>1.4E-2</v>
      </c>
      <c r="BH14" s="540">
        <v>4.6598026623689837E-3</v>
      </c>
      <c r="BI14" s="540">
        <v>3.694880929163924E-3</v>
      </c>
      <c r="BJ14" s="540">
        <v>2.7678326142548393E-3</v>
      </c>
      <c r="BK14" s="540">
        <v>3.7148725948805694E-3</v>
      </c>
      <c r="BL14" s="540">
        <v>6.1968710018474038E-3</v>
      </c>
      <c r="BM14" s="540">
        <f t="shared" ref="BM14:DX14" si="2">(1+BM13)^0.25-1</f>
        <v>4.5339746345725018E-3</v>
      </c>
      <c r="BN14" s="540">
        <f t="shared" si="2"/>
        <v>4.9500814788248082E-3</v>
      </c>
      <c r="BO14" s="540">
        <f t="shared" si="2"/>
        <v>2.8317000861650676E-3</v>
      </c>
      <c r="BP14" s="540">
        <f t="shared" si="2"/>
        <v>6.1676635917207179E-4</v>
      </c>
      <c r="BQ14" s="540">
        <f t="shared" si="2"/>
        <v>3.8504935861771727E-3</v>
      </c>
      <c r="BR14" s="540">
        <f t="shared" si="2"/>
        <v>6.9311288481677114E-3</v>
      </c>
      <c r="BS14" s="540">
        <f t="shared" si="2"/>
        <v>9.6777272540045089E-3</v>
      </c>
      <c r="BT14" s="540">
        <f t="shared" si="2"/>
        <v>1.3583617412343374E-2</v>
      </c>
      <c r="BU14" s="540">
        <f t="shared" si="2"/>
        <v>1.3969624222815558E-2</v>
      </c>
      <c r="BV14" s="540">
        <f t="shared" si="2"/>
        <v>1.5203637971271666E-2</v>
      </c>
      <c r="BW14" s="540">
        <f t="shared" si="2"/>
        <v>1.6226285093677406E-2</v>
      </c>
      <c r="BX14" s="540">
        <f t="shared" si="2"/>
        <v>1.1737677287075865E-2</v>
      </c>
      <c r="BY14" s="540">
        <f t="shared" si="2"/>
        <v>7.5633136380659494E-3</v>
      </c>
      <c r="BZ14" s="540">
        <f t="shared" si="2"/>
        <v>2.9976835896923237E-3</v>
      </c>
      <c r="CA14" s="540">
        <f t="shared" si="2"/>
        <v>6.1279519510537561E-4</v>
      </c>
      <c r="CB14" s="540">
        <f t="shared" si="2"/>
        <v>1.8829412362464382E-3</v>
      </c>
      <c r="CC14" s="540">
        <f t="shared" si="2"/>
        <v>4.0833425910378196E-3</v>
      </c>
      <c r="CD14" s="540">
        <f t="shared" si="2"/>
        <v>5.861878185368985E-3</v>
      </c>
      <c r="CE14" s="540">
        <f t="shared" si="2"/>
        <v>5.1511116164491E-3</v>
      </c>
      <c r="CF14" s="540">
        <f t="shared" si="2"/>
        <v>6.5929034799216968E-3</v>
      </c>
      <c r="CG14" s="540">
        <f t="shared" si="2"/>
        <v>6.5929034799216968E-3</v>
      </c>
      <c r="CH14" s="540">
        <f t="shared" si="2"/>
        <v>7.1987186277051585E-3</v>
      </c>
      <c r="CI14" s="540">
        <f t="shared" si="2"/>
        <v>9.1883831423162921E-3</v>
      </c>
      <c r="CJ14" s="540">
        <f t="shared" si="2"/>
        <v>1.1641219833626426E-2</v>
      </c>
      <c r="CK14" s="540">
        <f t="shared" si="2"/>
        <v>1.0414946587014473E-2</v>
      </c>
      <c r="CL14" s="540">
        <f t="shared" si="2"/>
        <v>9.855915784953595E-3</v>
      </c>
      <c r="CM14" s="540">
        <f t="shared" si="2"/>
        <v>9.2243717322799679E-3</v>
      </c>
      <c r="CN14" s="540">
        <f t="shared" si="2"/>
        <v>6.5586157753747543E-3</v>
      </c>
      <c r="CO14" s="540">
        <f t="shared" si="2"/>
        <v>6.5356483270302412E-3</v>
      </c>
      <c r="CP14" s="540">
        <f t="shared" si="2"/>
        <v>6.2167867021361012E-3</v>
      </c>
      <c r="CQ14" s="540">
        <f t="shared" si="2"/>
        <v>7.7103661186026518E-3</v>
      </c>
      <c r="CR14" s="540">
        <f t="shared" si="2"/>
        <v>7.294790162107212E-3</v>
      </c>
      <c r="CS14" s="540">
        <f t="shared" si="2"/>
        <v>8.4181054506595743E-3</v>
      </c>
      <c r="CT14" s="540">
        <f t="shared" si="2"/>
        <v>8.6618083383709354E-3</v>
      </c>
      <c r="CU14" s="540">
        <f t="shared" si="2"/>
        <v>7.2213998112786726E-3</v>
      </c>
      <c r="CV14" s="540">
        <f t="shared" si="2"/>
        <v>7.8080740138817273E-3</v>
      </c>
      <c r="CW14" s="540">
        <f t="shared" si="2"/>
        <v>7.294790162107212E-3</v>
      </c>
      <c r="CX14" s="540">
        <f t="shared" si="2"/>
        <v>8.1498280423168978E-3</v>
      </c>
      <c r="CY14" s="540">
        <f t="shared" si="2"/>
        <v>9.367549585383772E-3</v>
      </c>
      <c r="CZ14" s="540">
        <f t="shared" si="2"/>
        <v>1.0096072289550451E-2</v>
      </c>
      <c r="DA14" s="544">
        <f t="shared" si="2"/>
        <v>9.1243577716659807E-3</v>
      </c>
      <c r="DB14" s="544">
        <f t="shared" si="2"/>
        <v>8.3937254420483054E-3</v>
      </c>
      <c r="DC14" s="544">
        <f t="shared" si="2"/>
        <v>7.9057534988196121E-3</v>
      </c>
      <c r="DD14" s="544">
        <f t="shared" si="2"/>
        <v>7.6615015110583773E-3</v>
      </c>
      <c r="DE14" s="544">
        <f t="shared" si="2"/>
        <v>7.6615015110583773E-3</v>
      </c>
      <c r="DF14" s="544">
        <f t="shared" si="2"/>
        <v>7.1724639967380988E-3</v>
      </c>
      <c r="DG14" s="544">
        <f t="shared" si="2"/>
        <v>7.1724639967380988E-3</v>
      </c>
      <c r="DH14" s="544">
        <f t="shared" si="2"/>
        <v>7.4170717777328754E-3</v>
      </c>
      <c r="DI14" s="544">
        <f t="shared" si="2"/>
        <v>7.4170717777328754E-3</v>
      </c>
      <c r="DJ14" s="544">
        <f t="shared" si="2"/>
        <v>7.4170717777328754E-3</v>
      </c>
      <c r="DK14" s="544">
        <f t="shared" si="2"/>
        <v>7.4170717777328754E-3</v>
      </c>
      <c r="DL14" s="544">
        <f t="shared" si="2"/>
        <v>7.4170717777328754E-3</v>
      </c>
      <c r="DM14" s="544">
        <f t="shared" si="2"/>
        <v>7.4170717777328754E-3</v>
      </c>
      <c r="DN14" s="544">
        <f t="shared" si="2"/>
        <v>7.4170717777328754E-3</v>
      </c>
      <c r="DO14" s="544">
        <f t="shared" si="2"/>
        <v>7.4170717777328754E-3</v>
      </c>
      <c r="DP14" s="544">
        <f t="shared" si="2"/>
        <v>7.4170717777328754E-3</v>
      </c>
      <c r="DQ14" s="544">
        <f t="shared" si="2"/>
        <v>7.4170717777328754E-3</v>
      </c>
      <c r="DR14" s="544">
        <f t="shared" si="2"/>
        <v>7.4170717777328754E-3</v>
      </c>
      <c r="DS14" s="544">
        <f t="shared" si="2"/>
        <v>7.4170717777328754E-3</v>
      </c>
      <c r="DT14" s="544">
        <f t="shared" si="2"/>
        <v>7.4170717777328754E-3</v>
      </c>
      <c r="DU14" s="544">
        <f t="shared" si="2"/>
        <v>7.4170717777328754E-3</v>
      </c>
      <c r="DV14" s="544">
        <f t="shared" si="2"/>
        <v>7.4170717777328754E-3</v>
      </c>
      <c r="DW14" s="544">
        <f t="shared" si="2"/>
        <v>7.4170717777328754E-3</v>
      </c>
      <c r="DX14" s="544">
        <f t="shared" si="2"/>
        <v>7.4170717777328754E-3</v>
      </c>
    </row>
    <row r="15" spans="1:128" s="213" customFormat="1" ht="10.199999999999999">
      <c r="A15" s="283" t="s">
        <v>266</v>
      </c>
      <c r="B15" s="282"/>
      <c r="C15" s="283"/>
      <c r="D15" s="282"/>
      <c r="E15" s="279"/>
      <c r="F15" s="279"/>
      <c r="G15" s="279"/>
      <c r="H15" s="282"/>
      <c r="I15" s="282"/>
      <c r="J15" s="545">
        <v>3.2959999999999998</v>
      </c>
      <c r="K15" s="545">
        <v>3.2742</v>
      </c>
      <c r="L15" s="545">
        <v>3.128427531897926</v>
      </c>
      <c r="M15" s="545">
        <v>2.9248502374939878</v>
      </c>
      <c r="N15" s="545">
        <v>3.0115083333333335</v>
      </c>
      <c r="O15" s="545">
        <v>2.8251249999999999</v>
      </c>
      <c r="P15" s="545">
        <v>2.7693750000000001</v>
      </c>
      <c r="Q15" s="545">
        <v>2.6397500000000003</v>
      </c>
      <c r="R15" s="545">
        <v>2.7031999999999998</v>
      </c>
      <c r="S15" s="545">
        <v>2.8393999999999999</v>
      </c>
      <c r="T15" s="545">
        <v>3.1849672904612749</v>
      </c>
      <c r="U15" s="546">
        <f t="shared" ref="U15:Z15" si="3">AVERAGE(T16:U16)</f>
        <v>3.4154999999999998</v>
      </c>
      <c r="V15" s="546">
        <f t="shared" si="3"/>
        <v>3.4169999999999998</v>
      </c>
      <c r="W15" s="546">
        <f t="shared" si="3"/>
        <v>3.4169999999999998</v>
      </c>
      <c r="X15" s="546">
        <f t="shared" si="3"/>
        <v>3.4169999999999998</v>
      </c>
      <c r="Y15" s="546">
        <f t="shared" si="3"/>
        <v>3.4169999999999998</v>
      </c>
      <c r="Z15" s="546">
        <f t="shared" si="3"/>
        <v>3.4169999999999998</v>
      </c>
      <c r="AB15" s="283" t="s">
        <v>266</v>
      </c>
      <c r="AC15" s="282"/>
      <c r="AD15" s="282"/>
      <c r="AE15" s="282"/>
      <c r="AF15" s="282">
        <v>1.1265499999999999</v>
      </c>
      <c r="AG15" s="282">
        <v>1.1467499999999999</v>
      </c>
      <c r="AH15" s="282">
        <v>1.1710500000000001</v>
      </c>
      <c r="AI15" s="282">
        <v>1.19675</v>
      </c>
      <c r="AJ15" s="282">
        <v>1.4626999999999999</v>
      </c>
      <c r="AK15" s="282">
        <v>1.7350000000000001</v>
      </c>
      <c r="AL15" s="282">
        <v>1.845</v>
      </c>
      <c r="AM15" s="282">
        <v>1.86825</v>
      </c>
      <c r="AN15" s="281">
        <v>1.7470000000000001</v>
      </c>
      <c r="AO15" s="281">
        <v>1.8</v>
      </c>
      <c r="AP15" s="281">
        <v>1.8440000000000001</v>
      </c>
      <c r="AQ15" s="281">
        <v>1.93</v>
      </c>
      <c r="AR15" s="282">
        <v>2.0514999999999999</v>
      </c>
      <c r="AS15" s="279">
        <v>2.2330000000000001</v>
      </c>
      <c r="AT15" s="282">
        <v>2.4915000000000003</v>
      </c>
      <c r="AU15" s="282">
        <v>2.4900000000000002</v>
      </c>
      <c r="AV15" s="282">
        <v>2.3807</v>
      </c>
      <c r="AW15" s="282">
        <v>2.57125</v>
      </c>
      <c r="AX15" s="282">
        <v>3.2785000000000002</v>
      </c>
      <c r="AY15" s="282">
        <v>3.7395</v>
      </c>
      <c r="AZ15" s="279">
        <v>3.3530000000000002</v>
      </c>
      <c r="BA15" s="279">
        <v>3.0985</v>
      </c>
      <c r="BB15" s="279">
        <v>2.867</v>
      </c>
      <c r="BC15" s="279">
        <v>2.9449999999999998</v>
      </c>
      <c r="BD15" s="279">
        <v>2.8953000000000002</v>
      </c>
      <c r="BE15" s="279">
        <v>2.9901499999999999</v>
      </c>
      <c r="BF15" s="279">
        <v>2.9727999999999999</v>
      </c>
      <c r="BG15" s="279">
        <v>2.7603</v>
      </c>
      <c r="BH15" s="547">
        <v>3.2622</v>
      </c>
      <c r="BI15" s="548">
        <v>3.2553000000000001</v>
      </c>
      <c r="BJ15" s="548">
        <v>3.2726999999999999</v>
      </c>
      <c r="BK15" s="548">
        <v>3.3936000000000002</v>
      </c>
      <c r="BL15" s="548">
        <v>3.3418000000000001</v>
      </c>
      <c r="BM15" s="548">
        <f t="shared" ref="BM15:CW15" si="4">AVERAGE(BL16:BM16)</f>
        <v>3.3156499999999998</v>
      </c>
      <c r="BN15" s="548">
        <f t="shared" si="4"/>
        <v>3.2555500000000004</v>
      </c>
      <c r="BO15" s="548">
        <f t="shared" si="4"/>
        <v>3.2215500000000001</v>
      </c>
      <c r="BP15" s="548">
        <f t="shared" si="4"/>
        <v>3.1887499999999998</v>
      </c>
      <c r="BQ15" s="548">
        <f t="shared" si="4"/>
        <v>3.1757499999999999</v>
      </c>
      <c r="BR15" s="548">
        <f t="shared" si="4"/>
        <v>3.1277499999999998</v>
      </c>
      <c r="BS15" s="548">
        <f t="shared" si="4"/>
        <v>3.0419999999999998</v>
      </c>
      <c r="BT15" s="548">
        <f t="shared" si="4"/>
        <v>2.87175</v>
      </c>
      <c r="BU15" s="548">
        <f t="shared" si="4"/>
        <v>2.8565</v>
      </c>
      <c r="BV15" s="548">
        <f t="shared" si="4"/>
        <v>2.9712499999999999</v>
      </c>
      <c r="BW15" s="548">
        <f t="shared" si="4"/>
        <v>3.0579999999999998</v>
      </c>
      <c r="BX15" s="548">
        <f t="shared" si="4"/>
        <v>3.1502499999999998</v>
      </c>
      <c r="BY15" s="548">
        <f t="shared" si="4"/>
        <v>3.085</v>
      </c>
      <c r="BZ15" s="548">
        <f t="shared" si="4"/>
        <v>2.9477500000000001</v>
      </c>
      <c r="CA15" s="548">
        <f t="shared" si="4"/>
        <v>2.8875000000000002</v>
      </c>
      <c r="CB15" s="548">
        <f t="shared" si="4"/>
        <v>2.8652499999999996</v>
      </c>
      <c r="CC15" s="548">
        <f t="shared" si="4"/>
        <v>2.8339999999999996</v>
      </c>
      <c r="CD15" s="548">
        <f t="shared" si="4"/>
        <v>2.8069999999999999</v>
      </c>
      <c r="CE15" s="548">
        <f t="shared" si="4"/>
        <v>2.7970000000000002</v>
      </c>
      <c r="CF15" s="548">
        <f t="shared" si="4"/>
        <v>2.8050000000000002</v>
      </c>
      <c r="CG15" s="548">
        <f t="shared" si="4"/>
        <v>2.8035000000000001</v>
      </c>
      <c r="CH15" s="548">
        <f t="shared" si="4"/>
        <v>2.7762500000000001</v>
      </c>
      <c r="CI15" s="548">
        <f t="shared" si="4"/>
        <v>2.7607499999999998</v>
      </c>
      <c r="CJ15" s="548">
        <f t="shared" si="4"/>
        <v>2.7344999999999997</v>
      </c>
      <c r="CK15" s="548">
        <f t="shared" si="4"/>
        <v>2.6819999999999999</v>
      </c>
      <c r="CL15" s="548">
        <f t="shared" si="4"/>
        <v>2.6692499999999999</v>
      </c>
      <c r="CM15" s="548">
        <f t="shared" si="4"/>
        <v>2.6342499999999998</v>
      </c>
      <c r="CN15" s="548">
        <f t="shared" si="4"/>
        <v>2.5735000000000001</v>
      </c>
      <c r="CO15" s="548">
        <f t="shared" si="4"/>
        <v>2.5700000000000003</v>
      </c>
      <c r="CP15" s="548">
        <f t="shared" si="4"/>
        <v>2.6857500000000001</v>
      </c>
      <c r="CQ15" s="548">
        <f t="shared" si="4"/>
        <v>2.78085</v>
      </c>
      <c r="CR15" s="548">
        <f t="shared" si="4"/>
        <v>2.78965</v>
      </c>
      <c r="CS15" s="548">
        <f t="shared" si="4"/>
        <v>2.80355</v>
      </c>
      <c r="CT15" s="548">
        <f t="shared" si="4"/>
        <v>2.8067500000000001</v>
      </c>
      <c r="CU15" s="548">
        <f t="shared" si="4"/>
        <v>2.8477000000000001</v>
      </c>
      <c r="CV15" s="548">
        <f t="shared" si="4"/>
        <v>2.9349499999999997</v>
      </c>
      <c r="CW15" s="548">
        <f t="shared" si="4"/>
        <v>3.0379999999999998</v>
      </c>
      <c r="CX15" s="548">
        <v>3.1434000000000002</v>
      </c>
      <c r="CY15" s="548">
        <v>3.2122000000000002</v>
      </c>
      <c r="CZ15" s="548">
        <v>3.3246640624999997</v>
      </c>
      <c r="DA15" s="549">
        <f t="shared" ref="DA15:DX15" si="5">AVERAGE(CZ16:DA16)</f>
        <v>3.4154999999999998</v>
      </c>
      <c r="DB15" s="549">
        <f t="shared" si="5"/>
        <v>3.4169999999999998</v>
      </c>
      <c r="DC15" s="549">
        <f t="shared" si="5"/>
        <v>3.4169999999999998</v>
      </c>
      <c r="DD15" s="549">
        <f t="shared" si="5"/>
        <v>3.4169999999999998</v>
      </c>
      <c r="DE15" s="549">
        <f t="shared" si="5"/>
        <v>3.4169999999999998</v>
      </c>
      <c r="DF15" s="549">
        <f t="shared" si="5"/>
        <v>3.4169999999999998</v>
      </c>
      <c r="DG15" s="549">
        <f t="shared" si="5"/>
        <v>3.4169999999999998</v>
      </c>
      <c r="DH15" s="549">
        <f t="shared" si="5"/>
        <v>3.4169999999999998</v>
      </c>
      <c r="DI15" s="549">
        <f t="shared" si="5"/>
        <v>3.4169999999999998</v>
      </c>
      <c r="DJ15" s="549">
        <f t="shared" si="5"/>
        <v>3.4169999999999998</v>
      </c>
      <c r="DK15" s="549">
        <f t="shared" si="5"/>
        <v>3.4169999999999998</v>
      </c>
      <c r="DL15" s="549">
        <f t="shared" si="5"/>
        <v>3.4169999999999998</v>
      </c>
      <c r="DM15" s="549">
        <f t="shared" si="5"/>
        <v>3.4169999999999998</v>
      </c>
      <c r="DN15" s="549">
        <f t="shared" si="5"/>
        <v>3.4169999999999998</v>
      </c>
      <c r="DO15" s="549">
        <f t="shared" si="5"/>
        <v>3.4169999999999998</v>
      </c>
      <c r="DP15" s="549">
        <f t="shared" si="5"/>
        <v>3.4169999999999998</v>
      </c>
      <c r="DQ15" s="549">
        <f t="shared" si="5"/>
        <v>3.4169999999999998</v>
      </c>
      <c r="DR15" s="549">
        <f t="shared" si="5"/>
        <v>3.4169999999999998</v>
      </c>
      <c r="DS15" s="549">
        <f t="shared" si="5"/>
        <v>3.4169999999999998</v>
      </c>
      <c r="DT15" s="549">
        <f t="shared" si="5"/>
        <v>3.4169999999999998</v>
      </c>
      <c r="DU15" s="549">
        <f t="shared" si="5"/>
        <v>3.4169999999999998</v>
      </c>
      <c r="DV15" s="549">
        <f t="shared" si="5"/>
        <v>3.4169999999999998</v>
      </c>
      <c r="DW15" s="549">
        <f t="shared" si="5"/>
        <v>3.4169999999999998</v>
      </c>
      <c r="DX15" s="549">
        <f t="shared" si="5"/>
        <v>3.4169999999999998</v>
      </c>
    </row>
    <row r="16" spans="1:128" s="213" customFormat="1" ht="10.199999999999999">
      <c r="A16" s="283" t="s">
        <v>265</v>
      </c>
      <c r="B16" s="282"/>
      <c r="C16" s="283"/>
      <c r="D16" s="280"/>
      <c r="E16" s="280"/>
      <c r="F16" s="280"/>
      <c r="G16" s="278"/>
      <c r="H16" s="278"/>
      <c r="I16" s="278"/>
      <c r="J16" s="545">
        <v>3.4184999999999999</v>
      </c>
      <c r="K16" s="545">
        <v>3.1945000000000001</v>
      </c>
      <c r="L16" s="545">
        <v>2.9969999999999999</v>
      </c>
      <c r="M16" s="545">
        <v>3.14</v>
      </c>
      <c r="N16" s="548">
        <v>2.8889999999999998</v>
      </c>
      <c r="O16" s="548">
        <v>2.8065000000000002</v>
      </c>
      <c r="P16" s="545">
        <v>2.6964999999999999</v>
      </c>
      <c r="Q16" s="545">
        <v>2.5495000000000001</v>
      </c>
      <c r="R16" s="548">
        <v>2.7967</v>
      </c>
      <c r="S16" s="548">
        <v>2.9794999999999998</v>
      </c>
      <c r="T16" s="545">
        <f>+CZ16</f>
        <v>3.4140000000000001</v>
      </c>
      <c r="U16" s="546">
        <f>+DD16</f>
        <v>3.4169999999999998</v>
      </c>
      <c r="V16" s="546">
        <f>+DH16</f>
        <v>3.4169999999999998</v>
      </c>
      <c r="W16" s="546">
        <f>+DL16</f>
        <v>3.4169999999999998</v>
      </c>
      <c r="X16" s="546">
        <f>+DP16</f>
        <v>3.4169999999999998</v>
      </c>
      <c r="Y16" s="546">
        <f>+DT16</f>
        <v>3.4169999999999998</v>
      </c>
      <c r="Z16" s="546">
        <f>+DX16</f>
        <v>3.4169999999999998</v>
      </c>
      <c r="AB16" s="283" t="s">
        <v>265</v>
      </c>
      <c r="AC16" s="282"/>
      <c r="AD16" s="282"/>
      <c r="AE16" s="282"/>
      <c r="AF16" s="282">
        <v>1.137</v>
      </c>
      <c r="AG16" s="282">
        <v>1.1565000000000001</v>
      </c>
      <c r="AH16" s="282">
        <v>1.1856</v>
      </c>
      <c r="AI16" s="282">
        <v>1.2079</v>
      </c>
      <c r="AJ16" s="278">
        <v>1.7175</v>
      </c>
      <c r="AK16" s="278">
        <v>1.7524999999999999</v>
      </c>
      <c r="AL16" s="278">
        <v>1.9375</v>
      </c>
      <c r="AM16" s="278">
        <v>1.7989999999999999</v>
      </c>
      <c r="AN16" s="281">
        <v>1.774</v>
      </c>
      <c r="AO16" s="281">
        <v>1.8009999999999999</v>
      </c>
      <c r="AP16" s="281">
        <v>1.8140000000000001</v>
      </c>
      <c r="AQ16" s="281">
        <v>1.95</v>
      </c>
      <c r="AR16" s="280">
        <v>2.153</v>
      </c>
      <c r="AS16" s="280">
        <v>2.3130000000000002</v>
      </c>
      <c r="AT16" s="280">
        <v>2.67</v>
      </c>
      <c r="AU16" s="280">
        <v>2.31</v>
      </c>
      <c r="AV16" s="547">
        <v>2.3250000000000002</v>
      </c>
      <c r="AW16" s="547">
        <v>2.8174999999999999</v>
      </c>
      <c r="AX16" s="547">
        <v>3.7395</v>
      </c>
      <c r="AY16" s="547">
        <v>3.7395</v>
      </c>
      <c r="AZ16" s="278">
        <v>3.3530000000000002</v>
      </c>
      <c r="BA16" s="279">
        <v>2.8439999999999999</v>
      </c>
      <c r="BB16" s="278">
        <v>2.89</v>
      </c>
      <c r="BC16" s="278">
        <v>3</v>
      </c>
      <c r="BD16" s="278">
        <v>2.8953000000000002</v>
      </c>
      <c r="BE16" s="278">
        <v>3.085</v>
      </c>
      <c r="BF16" s="278">
        <v>2.8605999999999998</v>
      </c>
      <c r="BG16" s="278">
        <v>2.66</v>
      </c>
      <c r="BH16" s="550">
        <v>3.2605</v>
      </c>
      <c r="BI16" s="548">
        <v>3.2534999999999998</v>
      </c>
      <c r="BJ16" s="548">
        <v>3.343</v>
      </c>
      <c r="BK16" s="548">
        <v>3.4184999999999999</v>
      </c>
      <c r="BL16" s="548">
        <v>3.3687999999999998</v>
      </c>
      <c r="BM16" s="548">
        <v>3.2625000000000002</v>
      </c>
      <c r="BN16" s="548">
        <v>3.2486000000000002</v>
      </c>
      <c r="BO16" s="548">
        <v>3.1945000000000001</v>
      </c>
      <c r="BP16" s="548">
        <v>3.1829999999999998</v>
      </c>
      <c r="BQ16" s="548">
        <v>3.1684999999999999</v>
      </c>
      <c r="BR16" s="548">
        <v>3.0870000000000002</v>
      </c>
      <c r="BS16" s="548">
        <v>2.9969999999999999</v>
      </c>
      <c r="BT16" s="548">
        <v>2.7465000000000002</v>
      </c>
      <c r="BU16" s="548">
        <v>2.9664999999999999</v>
      </c>
      <c r="BV16" s="548">
        <v>2.976</v>
      </c>
      <c r="BW16" s="548">
        <v>3.14</v>
      </c>
      <c r="BX16" s="548">
        <v>3.1604999999999999</v>
      </c>
      <c r="BY16" s="548">
        <v>3.0095000000000001</v>
      </c>
      <c r="BZ16" s="548">
        <v>2.8860000000000001</v>
      </c>
      <c r="CA16" s="548">
        <v>2.8889999999999998</v>
      </c>
      <c r="CB16" s="548">
        <v>2.8414999999999999</v>
      </c>
      <c r="CC16" s="548">
        <v>2.8264999999999998</v>
      </c>
      <c r="CD16" s="548">
        <v>2.7875000000000001</v>
      </c>
      <c r="CE16" s="548">
        <v>2.8065000000000002</v>
      </c>
      <c r="CF16" s="548">
        <v>2.8035000000000001</v>
      </c>
      <c r="CG16" s="548">
        <v>2.8035000000000001</v>
      </c>
      <c r="CH16" s="548">
        <v>2.7490000000000001</v>
      </c>
      <c r="CI16" s="548">
        <v>2.7725</v>
      </c>
      <c r="CJ16" s="548">
        <v>2.6964999999999999</v>
      </c>
      <c r="CK16" s="548">
        <v>2.6675</v>
      </c>
      <c r="CL16" s="548">
        <v>2.6709999999999998</v>
      </c>
      <c r="CM16" s="548">
        <v>2.5975000000000001</v>
      </c>
      <c r="CN16" s="548">
        <v>2.5495000000000001</v>
      </c>
      <c r="CO16" s="548">
        <v>2.5905</v>
      </c>
      <c r="CP16" s="548">
        <v>2.7810000000000001</v>
      </c>
      <c r="CQ16" s="548">
        <v>2.7806999999999999</v>
      </c>
      <c r="CR16" s="548">
        <v>2.7986</v>
      </c>
      <c r="CS16" s="548">
        <v>2.8085</v>
      </c>
      <c r="CT16" s="548">
        <v>2.8050000000000002</v>
      </c>
      <c r="CU16" s="548">
        <v>2.8904000000000001</v>
      </c>
      <c r="CV16" s="548">
        <v>2.9794999999999998</v>
      </c>
      <c r="CW16" s="548">
        <v>3.0964999999999998</v>
      </c>
      <c r="CX16" s="548">
        <v>3.1795</v>
      </c>
      <c r="CY16" s="548">
        <v>3.2334000000000001</v>
      </c>
      <c r="CZ16" s="548">
        <v>3.4140000000000001</v>
      </c>
      <c r="DA16" s="549">
        <v>3.4169999999999998</v>
      </c>
      <c r="DB16" s="549">
        <f t="shared" ref="DB16:DX16" si="6">+DA16</f>
        <v>3.4169999999999998</v>
      </c>
      <c r="DC16" s="549">
        <f t="shared" si="6"/>
        <v>3.4169999999999998</v>
      </c>
      <c r="DD16" s="549">
        <f t="shared" si="6"/>
        <v>3.4169999999999998</v>
      </c>
      <c r="DE16" s="549">
        <f t="shared" si="6"/>
        <v>3.4169999999999998</v>
      </c>
      <c r="DF16" s="549">
        <f t="shared" si="6"/>
        <v>3.4169999999999998</v>
      </c>
      <c r="DG16" s="549">
        <f t="shared" si="6"/>
        <v>3.4169999999999998</v>
      </c>
      <c r="DH16" s="549">
        <f t="shared" si="6"/>
        <v>3.4169999999999998</v>
      </c>
      <c r="DI16" s="549">
        <f t="shared" si="6"/>
        <v>3.4169999999999998</v>
      </c>
      <c r="DJ16" s="549">
        <f t="shared" si="6"/>
        <v>3.4169999999999998</v>
      </c>
      <c r="DK16" s="549">
        <f t="shared" si="6"/>
        <v>3.4169999999999998</v>
      </c>
      <c r="DL16" s="549">
        <f t="shared" si="6"/>
        <v>3.4169999999999998</v>
      </c>
      <c r="DM16" s="549">
        <f t="shared" si="6"/>
        <v>3.4169999999999998</v>
      </c>
      <c r="DN16" s="549">
        <f t="shared" si="6"/>
        <v>3.4169999999999998</v>
      </c>
      <c r="DO16" s="549">
        <f t="shared" si="6"/>
        <v>3.4169999999999998</v>
      </c>
      <c r="DP16" s="549">
        <f t="shared" si="6"/>
        <v>3.4169999999999998</v>
      </c>
      <c r="DQ16" s="549">
        <f t="shared" si="6"/>
        <v>3.4169999999999998</v>
      </c>
      <c r="DR16" s="549">
        <f t="shared" si="6"/>
        <v>3.4169999999999998</v>
      </c>
      <c r="DS16" s="549">
        <f t="shared" si="6"/>
        <v>3.4169999999999998</v>
      </c>
      <c r="DT16" s="549">
        <f t="shared" si="6"/>
        <v>3.4169999999999998</v>
      </c>
      <c r="DU16" s="549">
        <f t="shared" si="6"/>
        <v>3.4169999999999998</v>
      </c>
      <c r="DV16" s="549">
        <f t="shared" si="6"/>
        <v>3.4169999999999998</v>
      </c>
      <c r="DW16" s="549">
        <f t="shared" si="6"/>
        <v>3.4169999999999998</v>
      </c>
      <c r="DX16" s="549">
        <f t="shared" si="6"/>
        <v>3.4169999999999998</v>
      </c>
    </row>
    <row r="17" spans="1:128" s="213" customFormat="1" ht="10.199999999999999">
      <c r="A17" s="283" t="s">
        <v>264</v>
      </c>
      <c r="B17" s="282"/>
      <c r="C17" s="283"/>
      <c r="D17" s="280"/>
      <c r="E17" s="280"/>
      <c r="F17" s="280"/>
      <c r="G17" s="278"/>
      <c r="H17" s="278"/>
      <c r="I17" s="278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545"/>
      <c r="U17" s="546"/>
      <c r="V17" s="546"/>
      <c r="W17" s="546"/>
      <c r="X17" s="546"/>
      <c r="Y17" s="546"/>
      <c r="Z17" s="546"/>
      <c r="AB17" s="283" t="s">
        <v>264</v>
      </c>
      <c r="AC17" s="282"/>
      <c r="AD17" s="282"/>
      <c r="AE17" s="282"/>
      <c r="AF17" s="282"/>
      <c r="AG17" s="282"/>
      <c r="AH17" s="282"/>
      <c r="AI17" s="282"/>
      <c r="AJ17" s="278"/>
      <c r="AK17" s="278"/>
      <c r="AL17" s="278"/>
      <c r="AM17" s="278"/>
      <c r="AN17" s="281"/>
      <c r="AO17" s="281"/>
      <c r="AP17" s="281"/>
      <c r="AQ17" s="281"/>
      <c r="AR17" s="280"/>
      <c r="AS17" s="280"/>
      <c r="AT17" s="280"/>
      <c r="AU17" s="280"/>
      <c r="AV17" s="547"/>
      <c r="AW17" s="547"/>
      <c r="AX17" s="547"/>
      <c r="AY17" s="547"/>
      <c r="AZ17" s="278"/>
      <c r="BA17" s="279"/>
      <c r="BB17" s="278"/>
      <c r="BC17" s="278"/>
      <c r="BD17" s="278"/>
      <c r="BE17" s="278"/>
      <c r="BF17" s="278"/>
      <c r="BG17" s="278"/>
      <c r="BH17" s="541">
        <v>-0.18417420641005977</v>
      </c>
      <c r="BI17" s="541">
        <v>2.1515291224836197E-3</v>
      </c>
      <c r="BJ17" s="541">
        <v>-2.6772360155548958E-2</v>
      </c>
      <c r="BK17" s="541">
        <v>-2.2085710106771961E-2</v>
      </c>
      <c r="BL17" s="541">
        <v>1.4753027784374373E-2</v>
      </c>
      <c r="BM17" s="541">
        <f t="shared" ref="BM17:CW17" si="7">BL16/BM16-1</f>
        <v>3.2582375478927172E-2</v>
      </c>
      <c r="BN17" s="541">
        <f t="shared" si="7"/>
        <v>4.2787662377639091E-3</v>
      </c>
      <c r="BO17" s="541">
        <f t="shared" si="7"/>
        <v>1.6935357645953886E-2</v>
      </c>
      <c r="BP17" s="541">
        <f t="shared" si="7"/>
        <v>3.6129437637448802E-3</v>
      </c>
      <c r="BQ17" s="541">
        <f t="shared" si="7"/>
        <v>4.576297932775697E-3</v>
      </c>
      <c r="BR17" s="541">
        <f t="shared" si="7"/>
        <v>2.6401036605118167E-2</v>
      </c>
      <c r="BS17" s="541">
        <f t="shared" si="7"/>
        <v>3.0030030030030241E-2</v>
      </c>
      <c r="BT17" s="541">
        <f t="shared" si="7"/>
        <v>9.1206990715456016E-2</v>
      </c>
      <c r="BU17" s="541">
        <f t="shared" si="7"/>
        <v>-7.4161469745491204E-2</v>
      </c>
      <c r="BV17" s="541">
        <f t="shared" si="7"/>
        <v>-3.1922043010752521E-3</v>
      </c>
      <c r="BW17" s="541">
        <f t="shared" si="7"/>
        <v>-5.2229299363057424E-2</v>
      </c>
      <c r="BX17" s="541">
        <f t="shared" si="7"/>
        <v>-6.4863154564150927E-3</v>
      </c>
      <c r="BY17" s="541">
        <f t="shared" si="7"/>
        <v>5.017444758265488E-2</v>
      </c>
      <c r="BZ17" s="541">
        <f t="shared" si="7"/>
        <v>4.2792792792792689E-2</v>
      </c>
      <c r="CA17" s="541">
        <f t="shared" si="7"/>
        <v>-1.0384215991691148E-3</v>
      </c>
      <c r="CB17" s="541">
        <f t="shared" si="7"/>
        <v>1.6716522963223568E-2</v>
      </c>
      <c r="CC17" s="541">
        <f t="shared" si="7"/>
        <v>5.306916681408147E-3</v>
      </c>
      <c r="CD17" s="541">
        <f t="shared" si="7"/>
        <v>1.3991031390134356E-2</v>
      </c>
      <c r="CE17" s="541">
        <f t="shared" si="7"/>
        <v>-6.7699982184216134E-3</v>
      </c>
      <c r="CF17" s="541">
        <f t="shared" si="7"/>
        <v>1.0700909577314732E-3</v>
      </c>
      <c r="CG17" s="541">
        <f t="shared" si="7"/>
        <v>0</v>
      </c>
      <c r="CH17" s="541">
        <f t="shared" si="7"/>
        <v>1.982539105129133E-2</v>
      </c>
      <c r="CI17" s="541">
        <f t="shared" si="7"/>
        <v>-8.4761045987375994E-3</v>
      </c>
      <c r="CJ17" s="541">
        <f t="shared" si="7"/>
        <v>2.81846838494344E-2</v>
      </c>
      <c r="CK17" s="541">
        <f t="shared" si="7"/>
        <v>1.0871602624179966E-2</v>
      </c>
      <c r="CL17" s="541">
        <f t="shared" si="7"/>
        <v>-1.3103706476974564E-3</v>
      </c>
      <c r="CM17" s="541">
        <f t="shared" si="7"/>
        <v>2.829643888354183E-2</v>
      </c>
      <c r="CN17" s="541">
        <f t="shared" si="7"/>
        <v>1.8827221023730134E-2</v>
      </c>
      <c r="CO17" s="541">
        <f t="shared" si="7"/>
        <v>-1.58270604130476E-2</v>
      </c>
      <c r="CP17" s="541">
        <f t="shared" si="7"/>
        <v>-6.8500539374325875E-2</v>
      </c>
      <c r="CQ17" s="541">
        <f t="shared" si="7"/>
        <v>1.0788650339854655E-4</v>
      </c>
      <c r="CR17" s="541">
        <f t="shared" si="7"/>
        <v>-6.396055170442394E-3</v>
      </c>
      <c r="CS17" s="541">
        <f t="shared" si="7"/>
        <v>-3.5250133523233584E-3</v>
      </c>
      <c r="CT17" s="541">
        <f t="shared" si="7"/>
        <v>1.2477718360071055E-3</v>
      </c>
      <c r="CU17" s="541">
        <f t="shared" si="7"/>
        <v>-2.9546083587046801E-2</v>
      </c>
      <c r="CV17" s="541">
        <f t="shared" si="7"/>
        <v>-2.9904346366840029E-2</v>
      </c>
      <c r="CW17" s="541">
        <f t="shared" si="7"/>
        <v>-3.7784595511060837E-2</v>
      </c>
      <c r="CX17" s="541">
        <f>CW16/CX16-1</f>
        <v>-2.6104733448655493E-2</v>
      </c>
      <c r="CY17" s="594">
        <f t="shared" ref="CY17:DX17" si="8">CX16/CY16-1</f>
        <v>-1.666975938640447E-2</v>
      </c>
      <c r="CZ17" s="594">
        <f t="shared" si="8"/>
        <v>-5.28998242530756E-2</v>
      </c>
      <c r="DA17" s="551">
        <f t="shared" si="8"/>
        <v>-8.7796312554866418E-4</v>
      </c>
      <c r="DB17" s="551">
        <f t="shared" si="8"/>
        <v>0</v>
      </c>
      <c r="DC17" s="551">
        <f t="shared" si="8"/>
        <v>0</v>
      </c>
      <c r="DD17" s="551">
        <f t="shared" si="8"/>
        <v>0</v>
      </c>
      <c r="DE17" s="551">
        <f t="shared" si="8"/>
        <v>0</v>
      </c>
      <c r="DF17" s="551">
        <f t="shared" si="8"/>
        <v>0</v>
      </c>
      <c r="DG17" s="551">
        <f t="shared" si="8"/>
        <v>0</v>
      </c>
      <c r="DH17" s="551">
        <f t="shared" si="8"/>
        <v>0</v>
      </c>
      <c r="DI17" s="551">
        <f t="shared" si="8"/>
        <v>0</v>
      </c>
      <c r="DJ17" s="551">
        <f t="shared" si="8"/>
        <v>0</v>
      </c>
      <c r="DK17" s="551">
        <f t="shared" si="8"/>
        <v>0</v>
      </c>
      <c r="DL17" s="551">
        <f t="shared" si="8"/>
        <v>0</v>
      </c>
      <c r="DM17" s="551">
        <f t="shared" si="8"/>
        <v>0</v>
      </c>
      <c r="DN17" s="551">
        <f t="shared" si="8"/>
        <v>0</v>
      </c>
      <c r="DO17" s="551">
        <f t="shared" si="8"/>
        <v>0</v>
      </c>
      <c r="DP17" s="551">
        <f t="shared" si="8"/>
        <v>0</v>
      </c>
      <c r="DQ17" s="551">
        <f t="shared" si="8"/>
        <v>0</v>
      </c>
      <c r="DR17" s="551">
        <f t="shared" si="8"/>
        <v>0</v>
      </c>
      <c r="DS17" s="551">
        <f t="shared" si="8"/>
        <v>0</v>
      </c>
      <c r="DT17" s="551">
        <f t="shared" si="8"/>
        <v>0</v>
      </c>
      <c r="DU17" s="551">
        <f t="shared" si="8"/>
        <v>0</v>
      </c>
      <c r="DV17" s="551">
        <f t="shared" si="8"/>
        <v>0</v>
      </c>
      <c r="DW17" s="551">
        <f t="shared" si="8"/>
        <v>0</v>
      </c>
      <c r="DX17" s="551">
        <f t="shared" si="8"/>
        <v>0</v>
      </c>
    </row>
    <row r="18" spans="1:128">
      <c r="A18" s="245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5"/>
      <c r="R18" s="215"/>
      <c r="S18" s="214"/>
      <c r="T18" s="213"/>
      <c r="U18" s="214"/>
      <c r="V18" s="214"/>
      <c r="W18" s="214"/>
      <c r="X18" s="214"/>
      <c r="Y18" s="214"/>
      <c r="Z18" s="214"/>
      <c r="AA18" s="213"/>
      <c r="AB18" s="245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77"/>
      <c r="BN18" s="277"/>
      <c r="BO18" s="277"/>
      <c r="BP18" s="277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</row>
    <row r="19" spans="1:128">
      <c r="A19" s="273" t="s">
        <v>263</v>
      </c>
      <c r="B19" s="266"/>
      <c r="C19" s="27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75"/>
      <c r="R19" s="275"/>
      <c r="S19" s="274"/>
      <c r="T19" s="276"/>
      <c r="U19" s="274"/>
      <c r="V19" s="274"/>
      <c r="W19" s="274"/>
      <c r="X19" s="274"/>
      <c r="Y19" s="274"/>
      <c r="Z19" s="274"/>
      <c r="AA19" s="213"/>
      <c r="AB19" s="273" t="str">
        <f t="shared" ref="AB19:AB24" si="9">A19</f>
        <v>Income statement assumptions</v>
      </c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72"/>
      <c r="BC19" s="272"/>
      <c r="BD19" s="249"/>
      <c r="BE19" s="266"/>
      <c r="BF19" s="266"/>
      <c r="BG19" s="249"/>
      <c r="BH19" s="271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</row>
    <row r="20" spans="1:128">
      <c r="A20" s="260" t="s">
        <v>262</v>
      </c>
      <c r="B20" s="266"/>
      <c r="C20" s="270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9"/>
      <c r="R20" s="269"/>
      <c r="S20" s="268"/>
      <c r="T20" s="270"/>
      <c r="U20" s="268"/>
      <c r="V20" s="268"/>
      <c r="W20" s="268"/>
      <c r="X20" s="268"/>
      <c r="Y20" s="268"/>
      <c r="Z20" s="268"/>
      <c r="AA20" s="213"/>
      <c r="AB20" s="260" t="str">
        <f t="shared" si="9"/>
        <v>Net interest income and provision expenses</v>
      </c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7"/>
      <c r="BC20" s="267"/>
      <c r="BD20" s="267"/>
      <c r="BE20" s="266"/>
      <c r="BF20" s="266"/>
      <c r="BG20" s="266"/>
      <c r="BH20" s="266"/>
      <c r="BI20" s="266"/>
      <c r="BJ20" s="266"/>
      <c r="BK20" s="266"/>
      <c r="BL20" s="266"/>
      <c r="BM20" s="266"/>
      <c r="BN20" s="266"/>
      <c r="BO20" s="266"/>
      <c r="BP20" s="266"/>
      <c r="BQ20" s="266"/>
      <c r="BR20" s="266"/>
      <c r="BS20" s="266"/>
      <c r="BT20" s="266"/>
      <c r="BU20" s="266"/>
      <c r="BV20" s="266"/>
      <c r="BW20" s="266"/>
      <c r="BX20" s="266"/>
      <c r="BY20" s="266"/>
      <c r="BZ20" s="266"/>
      <c r="CA20" s="266"/>
      <c r="CB20" s="266"/>
      <c r="CC20" s="266"/>
      <c r="CD20" s="266"/>
      <c r="CE20" s="266"/>
      <c r="CF20" s="266"/>
      <c r="CG20" s="266"/>
      <c r="CH20" s="266"/>
      <c r="CI20" s="266"/>
      <c r="CJ20" s="266"/>
      <c r="CK20" s="266"/>
      <c r="CL20" s="266"/>
      <c r="CM20" s="266"/>
      <c r="CN20" s="266"/>
      <c r="CO20" s="266"/>
      <c r="CP20" s="266"/>
      <c r="CQ20" s="266"/>
      <c r="CR20" s="266"/>
      <c r="CS20" s="266"/>
      <c r="CT20" s="266"/>
      <c r="CU20" s="266"/>
      <c r="CV20" s="266"/>
      <c r="CW20" s="266"/>
      <c r="CX20" s="266"/>
      <c r="CY20" s="266"/>
      <c r="CZ20" s="266"/>
      <c r="DA20" s="266"/>
      <c r="DB20" s="266"/>
      <c r="DC20" s="266"/>
      <c r="DD20" s="266"/>
      <c r="DE20" s="266"/>
      <c r="DF20" s="266"/>
      <c r="DG20" s="266"/>
      <c r="DH20" s="266"/>
      <c r="DI20" s="266"/>
      <c r="DJ20" s="266"/>
      <c r="DK20" s="266"/>
      <c r="DL20" s="266"/>
      <c r="DM20" s="266"/>
      <c r="DN20" s="266"/>
      <c r="DO20" s="266"/>
      <c r="DP20" s="266"/>
      <c r="DQ20" s="266"/>
      <c r="DR20" s="266"/>
      <c r="DS20" s="266"/>
      <c r="DT20" s="266"/>
      <c r="DU20" s="266"/>
      <c r="DV20" s="266"/>
      <c r="DW20" s="266"/>
      <c r="DX20" s="266"/>
    </row>
    <row r="21" spans="1:128">
      <c r="A21" s="255" t="s">
        <v>261</v>
      </c>
      <c r="B21" s="248"/>
      <c r="C21" s="248"/>
      <c r="D21" s="248"/>
      <c r="E21" s="248"/>
      <c r="F21" s="248"/>
      <c r="G21" s="248"/>
      <c r="H21" s="248"/>
      <c r="I21" s="248"/>
      <c r="J21" s="248" t="e">
        <f>'Income Statement'!J60/'Income Statement'!J58</f>
        <v>#DIV/0!</v>
      </c>
      <c r="K21" s="248" t="e">
        <f>'Income Statement'!K60/'Income Statement'!K58</f>
        <v>#DIV/0!</v>
      </c>
      <c r="L21" s="248" t="e">
        <f>'Income Statement'!L60/'Income Statement'!L58</f>
        <v>#DIV/0!</v>
      </c>
      <c r="M21" s="248" t="e">
        <f>'Income Statement'!M60/'Income Statement'!M58</f>
        <v>#DIV/0!</v>
      </c>
      <c r="N21" s="248">
        <f>'Income Statement'!N60/'Income Statement'!N58</f>
        <v>6.970149199233612E-2</v>
      </c>
      <c r="O21" s="248">
        <f>'Income Statement'!O60/'Income Statement'!O58</f>
        <v>6.3932309492754108E-2</v>
      </c>
      <c r="P21" s="248">
        <f>'Income Statement'!P60/'Income Statement'!P58</f>
        <v>7.9018720203291135E-2</v>
      </c>
      <c r="Q21" s="251">
        <f>'Income Statement'!Q60/'Income Statement'!Q58</f>
        <v>8.9704587759572435E-2</v>
      </c>
      <c r="R21" s="251">
        <f>'Income Statement'!R60/'Income Statement'!R58</f>
        <v>9.5109785804073921E-2</v>
      </c>
      <c r="S21" s="251">
        <f>'Income Statement'!S60/'Income Statement'!S58</f>
        <v>0.10046965995793558</v>
      </c>
      <c r="T21" s="248">
        <f>'Income Statement'!T60/'Income Statement'!T58</f>
        <v>0.10266029314055208</v>
      </c>
      <c r="U21" s="247">
        <f>'Income Statement'!U60/'Income Statement'!U58</f>
        <v>0.1054188709340154</v>
      </c>
      <c r="V21" s="247">
        <f>'Income Statement'!V60/'Income Statement'!V58</f>
        <v>0.1013998503480936</v>
      </c>
      <c r="W21" s="247">
        <f>'Income Statement'!W60/'Income Statement'!W58</f>
        <v>9.7253946665980959E-2</v>
      </c>
      <c r="X21" s="247">
        <f>'Income Statement'!X60/'Income Statement'!X58</f>
        <v>9.5971811888621986E-2</v>
      </c>
      <c r="Y21" s="247">
        <f>'Income Statement'!Y60/'Income Statement'!Y58</f>
        <v>9.6762312305372605E-2</v>
      </c>
      <c r="Z21" s="247">
        <f>'Income Statement'!Z60/'Income Statement'!Z58</f>
        <v>9.7786118985106751E-2</v>
      </c>
      <c r="AA21" s="213"/>
      <c r="AB21" s="255" t="str">
        <f t="shared" si="9"/>
        <v>Interest income as % of average interest earning assets</v>
      </c>
      <c r="AC21" s="249" t="e">
        <f>+'Income Statement'!#REF!</f>
        <v>#REF!</v>
      </c>
      <c r="AD21" s="248" t="e">
        <f>'Income Statement'!AD60/'Income Statement'!AD58</f>
        <v>#DIV/0!</v>
      </c>
      <c r="AE21" s="248" t="e">
        <f>'Income Statement'!AE60/'Income Statement'!AE58</f>
        <v>#DIV/0!</v>
      </c>
      <c r="AF21" s="248" t="e">
        <f>'Income Statement'!AF60/'Income Statement'!AF58</f>
        <v>#DIV/0!</v>
      </c>
      <c r="AG21" s="248" t="e">
        <f>'Income Statement'!AG60/'Income Statement'!AG58</f>
        <v>#DIV/0!</v>
      </c>
      <c r="AH21" s="248" t="e">
        <f>'Income Statement'!AH60/'Income Statement'!AH58</f>
        <v>#DIV/0!</v>
      </c>
      <c r="AI21" s="248" t="e">
        <f>'Income Statement'!AI60/'Income Statement'!AI58</f>
        <v>#DIV/0!</v>
      </c>
      <c r="AJ21" s="248" t="e">
        <f>'Income Statement'!AJ60/'Income Statement'!AJ58</f>
        <v>#DIV/0!</v>
      </c>
      <c r="AK21" s="248" t="e">
        <f>'Income Statement'!AK60/'Income Statement'!AK58</f>
        <v>#DIV/0!</v>
      </c>
      <c r="AL21" s="248" t="e">
        <f>'Income Statement'!AL60/'Income Statement'!AL58</f>
        <v>#DIV/0!</v>
      </c>
      <c r="AM21" s="248" t="e">
        <f>'Income Statement'!AM60/'Income Statement'!AM58</f>
        <v>#DIV/0!</v>
      </c>
      <c r="AN21" s="248" t="e">
        <f>'Income Statement'!AN60/'Income Statement'!AN58</f>
        <v>#DIV/0!</v>
      </c>
      <c r="AO21" s="248" t="e">
        <f>'Income Statement'!AO60/'Income Statement'!AO58</f>
        <v>#DIV/0!</v>
      </c>
      <c r="AP21" s="248" t="e">
        <f>'Income Statement'!AP60/'Income Statement'!AP58</f>
        <v>#DIV/0!</v>
      </c>
      <c r="AQ21" s="248" t="e">
        <f>'Income Statement'!AQ60/'Income Statement'!AQ58</f>
        <v>#DIV/0!</v>
      </c>
      <c r="AR21" s="248" t="e">
        <f>'Income Statement'!AR60/'Income Statement'!AR58</f>
        <v>#DIV/0!</v>
      </c>
      <c r="AS21" s="248" t="e">
        <f>'Income Statement'!AS60/'Income Statement'!AS58</f>
        <v>#DIV/0!</v>
      </c>
      <c r="AT21" s="248" t="e">
        <f>'Income Statement'!AT60/'Income Statement'!AT58</f>
        <v>#DIV/0!</v>
      </c>
      <c r="AU21" s="248" t="e">
        <f>'Income Statement'!AU60/'Income Statement'!AU58</f>
        <v>#DIV/0!</v>
      </c>
      <c r="AV21" s="248" t="e">
        <f>'Income Statement'!AV60/'Income Statement'!AV58</f>
        <v>#DIV/0!</v>
      </c>
      <c r="AW21" s="248" t="e">
        <f>'Income Statement'!AW60/'Income Statement'!AW58</f>
        <v>#DIV/0!</v>
      </c>
      <c r="AX21" s="248" t="e">
        <f>'Income Statement'!AX60/'Income Statement'!AX58</f>
        <v>#DIV/0!</v>
      </c>
      <c r="AY21" s="248" t="e">
        <f>'Income Statement'!AY60/'Income Statement'!AY58</f>
        <v>#DIV/0!</v>
      </c>
      <c r="AZ21" s="248" t="e">
        <f>'Income Statement'!AZ60/'Income Statement'!AZ58</f>
        <v>#DIV/0!</v>
      </c>
      <c r="BA21" s="248" t="e">
        <f>'Income Statement'!BA60/'Income Statement'!BA58</f>
        <v>#DIV/0!</v>
      </c>
      <c r="BB21" s="248" t="e">
        <f>'Income Statement'!BB60/'Income Statement'!BB58</f>
        <v>#DIV/0!</v>
      </c>
      <c r="BC21" s="248" t="e">
        <f>'Income Statement'!BC60/'Income Statement'!BC58</f>
        <v>#DIV/0!</v>
      </c>
      <c r="BD21" s="248" t="e">
        <f>'Income Statement'!BD60/'Income Statement'!BD58</f>
        <v>#DIV/0!</v>
      </c>
      <c r="BE21" s="248" t="e">
        <f>'Income Statement'!BE60/'Income Statement'!BE58</f>
        <v>#DIV/0!</v>
      </c>
      <c r="BF21" s="248" t="e">
        <f>'Income Statement'!BF60/'Income Statement'!BF58</f>
        <v>#DIV/0!</v>
      </c>
      <c r="BG21" s="248" t="e">
        <f>'Income Statement'!BG60/'Income Statement'!BG58</f>
        <v>#DIV/0!</v>
      </c>
      <c r="BH21" s="248" t="e">
        <f>'Income Statement'!BH60/'Income Statement'!BH58</f>
        <v>#DIV/0!</v>
      </c>
      <c r="BI21" s="248" t="e">
        <f>'Income Statement'!BI60/'Income Statement'!BI58</f>
        <v>#DIV/0!</v>
      </c>
      <c r="BJ21" s="248" t="e">
        <f>'Income Statement'!BJ60/'Income Statement'!BJ58</f>
        <v>#DIV/0!</v>
      </c>
      <c r="BK21" s="248" t="e">
        <f>'Income Statement'!BK60/'Income Statement'!BK58</f>
        <v>#DIV/0!</v>
      </c>
      <c r="BL21" s="248" t="e">
        <f>'Income Statement'!BL60/'Income Statement'!BL58</f>
        <v>#DIV/0!</v>
      </c>
      <c r="BM21" s="248" t="e">
        <f>'Income Statement'!BM60/'Income Statement'!BM58</f>
        <v>#DIV/0!</v>
      </c>
      <c r="BN21" s="248" t="e">
        <f>'Income Statement'!BN60/'Income Statement'!BN58</f>
        <v>#DIV/0!</v>
      </c>
      <c r="BO21" s="248" t="e">
        <f>'Income Statement'!BO60/'Income Statement'!BO58</f>
        <v>#DIV/0!</v>
      </c>
      <c r="BP21" s="248" t="e">
        <f>'Income Statement'!BP60/'Income Statement'!BP58</f>
        <v>#DIV/0!</v>
      </c>
      <c r="BQ21" s="248" t="e">
        <f>'Income Statement'!BQ60/'Income Statement'!BQ58</f>
        <v>#DIV/0!</v>
      </c>
      <c r="BR21" s="248" t="e">
        <f>'Income Statement'!BR60/'Income Statement'!BR58</f>
        <v>#DIV/0!</v>
      </c>
      <c r="BS21" s="248" t="e">
        <f>'Income Statement'!BS60/'Income Statement'!BS58</f>
        <v>#DIV/0!</v>
      </c>
      <c r="BT21" s="248" t="e">
        <f>'Income Statement'!BT60/'Income Statement'!BT58</f>
        <v>#DIV/0!</v>
      </c>
      <c r="BU21" s="248" t="e">
        <f>'Income Statement'!BU60/'Income Statement'!BU58</f>
        <v>#DIV/0!</v>
      </c>
      <c r="BV21" s="248" t="e">
        <f>'Income Statement'!BV60/'Income Statement'!BV58</f>
        <v>#DIV/0!</v>
      </c>
      <c r="BW21" s="248" t="e">
        <f>'Income Statement'!BW60/'Income Statement'!BW58</f>
        <v>#DIV/0!</v>
      </c>
      <c r="BX21" s="248" t="e">
        <f>'Income Statement'!BX60/'Income Statement'!BX58</f>
        <v>#DIV/0!</v>
      </c>
      <c r="BY21" s="248">
        <f>'Income Statement'!BY60/'Income Statement'!BY58</f>
        <v>1.7592052529275405E-2</v>
      </c>
      <c r="BZ21" s="248">
        <f>'Income Statement'!BZ60/'Income Statement'!BZ58</f>
        <v>1.7903791036854893E-2</v>
      </c>
      <c r="CA21" s="248">
        <f>'Income Statement'!CA60/'Income Statement'!CA58</f>
        <v>1.738925047457493E-2</v>
      </c>
      <c r="CB21" s="248">
        <f>'Income Statement'!CB60/'Income Statement'!CB58</f>
        <v>1.7355427090017861E-2</v>
      </c>
      <c r="CC21" s="248">
        <f>'Income Statement'!CC60/'Income Statement'!CC58</f>
        <v>1.6385206525741741E-2</v>
      </c>
      <c r="CD21" s="248">
        <f>'Income Statement'!CD60/'Income Statement'!CD58</f>
        <v>1.6465822373953286E-2</v>
      </c>
      <c r="CE21" s="248">
        <f>'Income Statement'!CE60/'Income Statement'!CE58</f>
        <v>1.6546912598602154E-2</v>
      </c>
      <c r="CF21" s="248">
        <f>'Income Statement'!CF60/'Income Statement'!CF58</f>
        <v>1.6181539418386213E-2</v>
      </c>
      <c r="CG21" s="248">
        <f>'Income Statement'!CG60/'Income Statement'!CG58</f>
        <v>1.6553855727078466E-2</v>
      </c>
      <c r="CH21" s="248">
        <f>'Income Statement'!CH60/'Income Statement'!CH58</f>
        <v>1.6719551562501021E-2</v>
      </c>
      <c r="CI21" s="248">
        <f>'Income Statement'!CI60/'Income Statement'!CI58</f>
        <v>1.7407806979656906E-2</v>
      </c>
      <c r="CJ21" s="248">
        <f>'Income Statement'!CJ60/'Income Statement'!CJ58</f>
        <v>1.8016727384233846E-2</v>
      </c>
      <c r="CK21" s="248">
        <f>'Income Statement'!CK60/'Income Statement'!CK58</f>
        <v>1.7745723595924363E-2</v>
      </c>
      <c r="CL21" s="248">
        <f>'Income Statement'!CL60/'Income Statement'!CL58</f>
        <v>1.7763690025300115E-2</v>
      </c>
      <c r="CM21" s="248">
        <f>'Income Statement'!CM60/'Income Statement'!CM58</f>
        <v>1.8217950458393667E-2</v>
      </c>
      <c r="CN21" s="248">
        <f>'Income Statement'!CN60/'Income Statement'!CN58</f>
        <v>1.8120298447949594E-2</v>
      </c>
      <c r="CO21" s="248">
        <f>'Income Statement'!CO60/'Income Statement'!CO58</f>
        <v>1.7595196190914691E-2</v>
      </c>
      <c r="CP21" s="248">
        <f>'Income Statement'!CP60/'Income Statement'!CP58</f>
        <v>1.7578122039665172E-2</v>
      </c>
      <c r="CQ21" s="248">
        <f>'Income Statement'!CQ60/'Income Statement'!CQ58</f>
        <v>1.8313974590192027E-2</v>
      </c>
      <c r="CR21" s="248">
        <f>'Income Statement'!CR60/'Income Statement'!CR58</f>
        <v>1.8110662440463336E-2</v>
      </c>
      <c r="CS21" s="248">
        <f>'Income Statement'!CS60/'Income Statement'!CS58</f>
        <v>1.7659205468938163E-2</v>
      </c>
      <c r="CT21" s="248">
        <f>'Income Statement'!CT60/'Income Statement'!CT58</f>
        <v>1.9213020590015083E-2</v>
      </c>
      <c r="CU21" s="248">
        <f>'Income Statement'!CU60/'Income Statement'!CU58</f>
        <v>1.9444443471762302E-2</v>
      </c>
      <c r="CV21" s="248">
        <f>'Income Statement'!CV60/'Income Statement'!CV58</f>
        <v>1.9057190644561094E-2</v>
      </c>
      <c r="CW21" s="248">
        <f>'Income Statement'!CW60/'Income Statement'!CW58</f>
        <v>1.9250944794378937E-2</v>
      </c>
      <c r="CX21" s="248">
        <f>'Income Statement'!CX60/'Income Statement'!CX58</f>
        <v>1.9205424794127519E-2</v>
      </c>
      <c r="CY21" s="248">
        <f>'Income Statement'!CY60/'Income Statement'!CY58</f>
        <v>1.867173773002637E-2</v>
      </c>
      <c r="CZ21" s="248">
        <f>'Income Statement'!CZ60/'Income Statement'!CZ58</f>
        <v>1.8882786548088937E-2</v>
      </c>
      <c r="DA21" s="247">
        <v>1.9459387854738001E-2</v>
      </c>
      <c r="DB21" s="247">
        <v>1.9820908089427502E-2</v>
      </c>
      <c r="DC21" s="247">
        <v>2.0247542247730323E-2</v>
      </c>
      <c r="DD21" s="247">
        <v>2.0467024643869652E-2</v>
      </c>
      <c r="DE21" s="247">
        <v>2.0308520094899953E-2</v>
      </c>
      <c r="DF21" s="247">
        <v>2.0071809687063773E-2</v>
      </c>
      <c r="DG21" s="247">
        <v>2.0031872005129594E-2</v>
      </c>
      <c r="DH21" s="247">
        <v>1.9998169636796549E-2</v>
      </c>
      <c r="DI21" s="247">
        <v>1.9844864841646326E-2</v>
      </c>
      <c r="DJ21" s="247">
        <v>1.9968989642843837E-2</v>
      </c>
      <c r="DK21" s="247">
        <v>1.9948641646353637E-2</v>
      </c>
      <c r="DL21" s="247">
        <v>2.0050383675473137E-2</v>
      </c>
      <c r="DM21" s="247">
        <v>2.0004393791309406E-2</v>
      </c>
      <c r="DN21" s="247">
        <v>2.0006853680686408E-2</v>
      </c>
      <c r="DO21" s="247">
        <v>1.9979399248685019E-2</v>
      </c>
      <c r="DP21" s="247">
        <v>2.0022580046981375E-2</v>
      </c>
      <c r="DQ21" s="247">
        <v>2.0035457414604944E-2</v>
      </c>
      <c r="DR21" s="247">
        <v>2.0099689957172852E-2</v>
      </c>
      <c r="DS21" s="247">
        <v>2.0130846466416216E-2</v>
      </c>
      <c r="DT21" s="247">
        <v>2.0167530539799319E-2</v>
      </c>
      <c r="DU21" s="247">
        <v>2.0173264328746932E-2</v>
      </c>
      <c r="DV21" s="247">
        <v>2.0230644948372973E-2</v>
      </c>
      <c r="DW21" s="247">
        <v>2.0253719018997508E-2</v>
      </c>
      <c r="DX21" s="247">
        <v>2.0281345353921024E-2</v>
      </c>
    </row>
    <row r="22" spans="1:128">
      <c r="A22" s="252" t="s">
        <v>260</v>
      </c>
      <c r="B22" s="248"/>
      <c r="C22" s="248"/>
      <c r="D22" s="248"/>
      <c r="E22" s="248"/>
      <c r="F22" s="248"/>
      <c r="G22" s="248"/>
      <c r="H22" s="248"/>
      <c r="I22" s="248"/>
      <c r="J22" s="248" t="e">
        <f>'Income Statement'!J70/'Income Statement'!J68</f>
        <v>#DIV/0!</v>
      </c>
      <c r="K22" s="248" t="e">
        <f>'Income Statement'!K70/'Income Statement'!K68</f>
        <v>#DIV/0!</v>
      </c>
      <c r="L22" s="248" t="e">
        <f>'Income Statement'!L70/'Income Statement'!L68</f>
        <v>#DIV/0!</v>
      </c>
      <c r="M22" s="248" t="e">
        <f>'Income Statement'!M70/'Income Statement'!M68</f>
        <v>#DIV/0!</v>
      </c>
      <c r="N22" s="248">
        <f>'Income Statement'!N70/'Income Statement'!N68</f>
        <v>3.0178997940994566E-2</v>
      </c>
      <c r="O22" s="248">
        <f>'Income Statement'!O70/'Income Statement'!O68</f>
        <v>2.3159872612666523E-2</v>
      </c>
      <c r="P22" s="248">
        <f>'Income Statement'!P70/'Income Statement'!P68</f>
        <v>2.7436939469391151E-2</v>
      </c>
      <c r="Q22" s="251">
        <f>'Income Statement'!Q70/'Income Statement'!Q68</f>
        <v>3.0887430586125232E-2</v>
      </c>
      <c r="R22" s="251">
        <f>'Income Statement'!R70/'Income Statement'!R68</f>
        <v>2.9371335535673788E-2</v>
      </c>
      <c r="S22" s="251">
        <f>'Income Statement'!S70/'Income Statement'!S68</f>
        <v>2.6390994973519974E-2</v>
      </c>
      <c r="T22" s="248">
        <f>'Income Statement'!T70/'Income Statement'!T68</f>
        <v>2.6954893893376176E-2</v>
      </c>
      <c r="U22" s="247">
        <f ca="1">'Income Statement'!U70/'Income Statement'!U68</f>
        <v>3.5355185655126818E-2</v>
      </c>
      <c r="V22" s="247">
        <f ca="1">'Income Statement'!V70/'Income Statement'!V68</f>
        <v>3.4281965846457083E-2</v>
      </c>
      <c r="W22" s="247">
        <f ca="1">'Income Statement'!W70/'Income Statement'!W68</f>
        <v>3.2540938721552101E-2</v>
      </c>
      <c r="X22" s="247">
        <f ca="1">'Income Statement'!X70/'Income Statement'!X68</f>
        <v>3.2146334548909444E-2</v>
      </c>
      <c r="Y22" s="247">
        <f ca="1">'Income Statement'!Y70/'Income Statement'!Y68</f>
        <v>3.140420924022419E-2</v>
      </c>
      <c r="Z22" s="247">
        <f ca="1">'Income Statement'!Z70/'Income Statement'!Z68</f>
        <v>3.0865994732018169E-2</v>
      </c>
      <c r="AA22" s="213"/>
      <c r="AB22" s="252" t="str">
        <f t="shared" si="9"/>
        <v>Interest expense as % of average interest bearing liabilities</v>
      </c>
      <c r="AC22" s="249" t="e">
        <f>+'Income Statement'!#REF!</f>
        <v>#REF!</v>
      </c>
      <c r="AD22" s="248" t="e">
        <f>'Income Statement'!AD70/'Income Statement'!AD68</f>
        <v>#DIV/0!</v>
      </c>
      <c r="AE22" s="248" t="e">
        <f>'Income Statement'!AE70/'Income Statement'!AE68</f>
        <v>#DIV/0!</v>
      </c>
      <c r="AF22" s="248" t="e">
        <f>'Income Statement'!AF70/'Income Statement'!AF68</f>
        <v>#DIV/0!</v>
      </c>
      <c r="AG22" s="248" t="e">
        <f>'Income Statement'!AG70/'Income Statement'!AG68</f>
        <v>#DIV/0!</v>
      </c>
      <c r="AH22" s="248" t="e">
        <f>'Income Statement'!AH70/'Income Statement'!AH68</f>
        <v>#DIV/0!</v>
      </c>
      <c r="AI22" s="248" t="e">
        <f>'Income Statement'!AI70/'Income Statement'!AI68</f>
        <v>#DIV/0!</v>
      </c>
      <c r="AJ22" s="248" t="e">
        <f>'Income Statement'!AJ70/'Income Statement'!AJ68</f>
        <v>#DIV/0!</v>
      </c>
      <c r="AK22" s="248" t="e">
        <f>'Income Statement'!AK70/'Income Statement'!AK68</f>
        <v>#DIV/0!</v>
      </c>
      <c r="AL22" s="248" t="e">
        <f>'Income Statement'!AL70/'Income Statement'!AL68</f>
        <v>#DIV/0!</v>
      </c>
      <c r="AM22" s="248" t="e">
        <f>'Income Statement'!AM70/'Income Statement'!AM68</f>
        <v>#DIV/0!</v>
      </c>
      <c r="AN22" s="248" t="e">
        <f>'Income Statement'!AN70/'Income Statement'!AN68</f>
        <v>#DIV/0!</v>
      </c>
      <c r="AO22" s="248" t="e">
        <f>'Income Statement'!AO70/'Income Statement'!AO68</f>
        <v>#DIV/0!</v>
      </c>
      <c r="AP22" s="248" t="e">
        <f>'Income Statement'!AP70/'Income Statement'!AP68</f>
        <v>#DIV/0!</v>
      </c>
      <c r="AQ22" s="248" t="e">
        <f>'Income Statement'!AQ70/'Income Statement'!AQ68</f>
        <v>#DIV/0!</v>
      </c>
      <c r="AR22" s="248" t="e">
        <f>'Income Statement'!AR70/'Income Statement'!AR68</f>
        <v>#DIV/0!</v>
      </c>
      <c r="AS22" s="248" t="e">
        <f>'Income Statement'!AS70/'Income Statement'!AS68</f>
        <v>#DIV/0!</v>
      </c>
      <c r="AT22" s="248" t="e">
        <f>'Income Statement'!AT70/'Income Statement'!AT68</f>
        <v>#DIV/0!</v>
      </c>
      <c r="AU22" s="248" t="e">
        <f>'Income Statement'!AU70/'Income Statement'!AU68</f>
        <v>#DIV/0!</v>
      </c>
      <c r="AV22" s="248" t="e">
        <f>'Income Statement'!AV70/'Income Statement'!AV68</f>
        <v>#DIV/0!</v>
      </c>
      <c r="AW22" s="248" t="e">
        <f>'Income Statement'!AW70/'Income Statement'!AW68</f>
        <v>#DIV/0!</v>
      </c>
      <c r="AX22" s="248" t="e">
        <f>'Income Statement'!AX70/'Income Statement'!AX68</f>
        <v>#DIV/0!</v>
      </c>
      <c r="AY22" s="248" t="e">
        <f>'Income Statement'!AY70/'Income Statement'!AY68</f>
        <v>#DIV/0!</v>
      </c>
      <c r="AZ22" s="248" t="e">
        <f>'Income Statement'!AZ70/'Income Statement'!AZ68</f>
        <v>#DIV/0!</v>
      </c>
      <c r="BA22" s="248" t="e">
        <f>'Income Statement'!BA70/'Income Statement'!BA68</f>
        <v>#DIV/0!</v>
      </c>
      <c r="BB22" s="248" t="e">
        <f>'Income Statement'!BB70/'Income Statement'!BB68</f>
        <v>#DIV/0!</v>
      </c>
      <c r="BC22" s="248" t="e">
        <f>'Income Statement'!BC70/'Income Statement'!BC68</f>
        <v>#DIV/0!</v>
      </c>
      <c r="BD22" s="248" t="e">
        <f>'Income Statement'!BD70/'Income Statement'!BD68</f>
        <v>#DIV/0!</v>
      </c>
      <c r="BE22" s="248" t="e">
        <f>'Income Statement'!BE70/'Income Statement'!BE68</f>
        <v>#DIV/0!</v>
      </c>
      <c r="BF22" s="248" t="e">
        <f>'Income Statement'!BF70/'Income Statement'!BF68</f>
        <v>#DIV/0!</v>
      </c>
      <c r="BG22" s="248" t="e">
        <f>'Income Statement'!BG70/'Income Statement'!BG68</f>
        <v>#DIV/0!</v>
      </c>
      <c r="BH22" s="248" t="e">
        <f>'Income Statement'!BH70/'Income Statement'!BH68</f>
        <v>#DIV/0!</v>
      </c>
      <c r="BI22" s="248" t="e">
        <f>'Income Statement'!BI70/'Income Statement'!BI68</f>
        <v>#DIV/0!</v>
      </c>
      <c r="BJ22" s="248" t="e">
        <f>'Income Statement'!BJ70/'Income Statement'!BJ68</f>
        <v>#DIV/0!</v>
      </c>
      <c r="BK22" s="248" t="e">
        <f>'Income Statement'!BK70/'Income Statement'!BK68</f>
        <v>#DIV/0!</v>
      </c>
      <c r="BL22" s="248" t="e">
        <f>'Income Statement'!BL70/'Income Statement'!BL68</f>
        <v>#DIV/0!</v>
      </c>
      <c r="BM22" s="248" t="e">
        <f>'Income Statement'!BM70/'Income Statement'!BM68</f>
        <v>#DIV/0!</v>
      </c>
      <c r="BN22" s="248" t="e">
        <f>'Income Statement'!BN70/'Income Statement'!BN68</f>
        <v>#DIV/0!</v>
      </c>
      <c r="BO22" s="248" t="e">
        <f>'Income Statement'!BO70/'Income Statement'!BO68</f>
        <v>#DIV/0!</v>
      </c>
      <c r="BP22" s="248" t="e">
        <f>'Income Statement'!BP70/'Income Statement'!BP68</f>
        <v>#DIV/0!</v>
      </c>
      <c r="BQ22" s="248" t="e">
        <f>'Income Statement'!BQ70/'Income Statement'!BQ68</f>
        <v>#DIV/0!</v>
      </c>
      <c r="BR22" s="248" t="e">
        <f>'Income Statement'!BR70/'Income Statement'!BR68</f>
        <v>#DIV/0!</v>
      </c>
      <c r="BS22" s="248" t="e">
        <f>'Income Statement'!BS70/'Income Statement'!BS68</f>
        <v>#DIV/0!</v>
      </c>
      <c r="BT22" s="248" t="e">
        <f>'Income Statement'!BT70/'Income Statement'!BT68</f>
        <v>#DIV/0!</v>
      </c>
      <c r="BU22" s="248" t="e">
        <f>'Income Statement'!BU70/'Income Statement'!BU68</f>
        <v>#DIV/0!</v>
      </c>
      <c r="BV22" s="248" t="e">
        <f>'Income Statement'!BV70/'Income Statement'!BV68</f>
        <v>#DIV/0!</v>
      </c>
      <c r="BW22" s="248" t="e">
        <f>'Income Statement'!BW70/'Income Statement'!BW68</f>
        <v>#DIV/0!</v>
      </c>
      <c r="BX22" s="248" t="e">
        <f>'Income Statement'!BX70/'Income Statement'!BX68</f>
        <v>#DIV/0!</v>
      </c>
      <c r="BY22" s="248">
        <f>'Income Statement'!BY70/'Income Statement'!BY68</f>
        <v>9.3607839804341134E-3</v>
      </c>
      <c r="BZ22" s="248">
        <f>'Income Statement'!BZ70/'Income Statement'!BZ68</f>
        <v>8.2830029567920304E-3</v>
      </c>
      <c r="CA22" s="248">
        <f>'Income Statement'!CA70/'Income Statement'!CA68</f>
        <v>7.4787029151774645E-3</v>
      </c>
      <c r="CB22" s="248">
        <f>'Income Statement'!CB70/'Income Statement'!CB68</f>
        <v>6.7254259892723456E-3</v>
      </c>
      <c r="CC22" s="248">
        <f>'Income Statement'!CC70/'Income Statement'!CC68</f>
        <v>5.9045669339312422E-3</v>
      </c>
      <c r="CD22" s="248">
        <f>'Income Statement'!CD70/'Income Statement'!CD68</f>
        <v>5.724914764935511E-3</v>
      </c>
      <c r="CE22" s="248">
        <f>'Income Statement'!CE70/'Income Statement'!CE68</f>
        <v>6.334970286982048E-3</v>
      </c>
      <c r="CF22" s="248">
        <f>'Income Statement'!CF70/'Income Statement'!CF68</f>
        <v>6.3177578011304825E-3</v>
      </c>
      <c r="CG22" s="248">
        <f>'Income Statement'!CG70/'Income Statement'!CG68</f>
        <v>6.2843515325550752E-3</v>
      </c>
      <c r="CH22" s="248">
        <f>'Income Statement'!CH70/'Income Statement'!CH68</f>
        <v>6.8384933289866974E-3</v>
      </c>
      <c r="CI22" s="248">
        <f>'Income Statement'!CI70/'Income Statement'!CI68</f>
        <v>7.0735043216992059E-3</v>
      </c>
      <c r="CJ22" s="248">
        <f>'Income Statement'!CJ70/'Income Statement'!CJ68</f>
        <v>7.3618032771203589E-3</v>
      </c>
      <c r="CK22" s="248">
        <f>'Income Statement'!CK70/'Income Statement'!CK68</f>
        <v>7.3334664892468118E-3</v>
      </c>
      <c r="CL22" s="248">
        <f>'Income Statement'!CL70/'Income Statement'!CL68</f>
        <v>7.4617564940427086E-3</v>
      </c>
      <c r="CM22" s="248">
        <f>'Income Statement'!CM70/'Income Statement'!CM68</f>
        <v>7.8389400503384981E-3</v>
      </c>
      <c r="CN22" s="248">
        <f>'Income Statement'!CN70/'Income Statement'!CN68</f>
        <v>7.9528293341987848E-3</v>
      </c>
      <c r="CO22" s="248">
        <f>'Income Statement'!CO70/'Income Statement'!CO68</f>
        <v>7.3646277467790374E-3</v>
      </c>
      <c r="CP22" s="248">
        <f>'Income Statement'!CP70/'Income Statement'!CP68</f>
        <v>7.2434243798759302E-3</v>
      </c>
      <c r="CQ22" s="248">
        <f>'Income Statement'!CQ70/'Income Statement'!CQ68</f>
        <v>7.2690735463511874E-3</v>
      </c>
      <c r="CR22" s="248">
        <f>'Income Statement'!CR70/'Income Statement'!CR68</f>
        <v>6.884433484275399E-3</v>
      </c>
      <c r="CS22" s="248">
        <f>'Income Statement'!CS70/'Income Statement'!CS68</f>
        <v>6.1046165067896929E-3</v>
      </c>
      <c r="CT22" s="248">
        <f>'Income Statement'!CT70/'Income Statement'!CT68</f>
        <v>6.5263329834193088E-3</v>
      </c>
      <c r="CU22" s="248">
        <f>'Income Statement'!CU70/'Income Statement'!CU68</f>
        <v>6.626149159603867E-3</v>
      </c>
      <c r="CV22" s="248">
        <f>'Income Statement'!CV70/'Income Statement'!CV68</f>
        <v>6.5217233582592384E-3</v>
      </c>
      <c r="CW22" s="248">
        <f>'Income Statement'!CW70/'Income Statement'!CW68</f>
        <v>6.6033534477360906E-3</v>
      </c>
      <c r="CX22" s="248">
        <f>'Income Statement'!CX70/'Income Statement'!CX68</f>
        <v>6.7640559982723074E-3</v>
      </c>
      <c r="CY22" s="248">
        <f>'Income Statement'!CY70/'Income Statement'!CY68</f>
        <v>6.7414570992007251E-3</v>
      </c>
      <c r="CZ22" s="248">
        <f>'Income Statement'!CZ70/'Income Statement'!CZ68</f>
        <v>6.851587668619403E-3</v>
      </c>
      <c r="DA22" s="247">
        <v>7.8951206929592753E-3</v>
      </c>
      <c r="DB22" s="247">
        <v>8.2951619711823781E-3</v>
      </c>
      <c r="DC22" s="247">
        <v>8.7087020488801053E-3</v>
      </c>
      <c r="DD22" s="247">
        <v>8.9648694232265548E-3</v>
      </c>
      <c r="DE22" s="247">
        <v>8.7431116149023925E-3</v>
      </c>
      <c r="DF22" s="247">
        <v>8.3707533454410524E-3</v>
      </c>
      <c r="DG22" s="247">
        <v>8.3674586910215312E-3</v>
      </c>
      <c r="DH22" s="247">
        <v>8.2374285624089855E-3</v>
      </c>
      <c r="DI22" s="247">
        <v>8.184834435341376E-3</v>
      </c>
      <c r="DJ22" s="247">
        <v>8.0561032599897713E-3</v>
      </c>
      <c r="DK22" s="247">
        <v>7.9867060835583075E-3</v>
      </c>
      <c r="DL22" s="247">
        <v>7.8599281623848369E-3</v>
      </c>
      <c r="DM22" s="247">
        <v>7.951041943329705E-3</v>
      </c>
      <c r="DN22" s="247">
        <v>7.9672147702646613E-3</v>
      </c>
      <c r="DO22" s="247">
        <v>7.9633257729216471E-3</v>
      </c>
      <c r="DP22" s="247">
        <v>7.8972622700767756E-3</v>
      </c>
      <c r="DQ22" s="247">
        <v>7.8565274168695427E-3</v>
      </c>
      <c r="DR22" s="247">
        <v>7.799082914674231E-3</v>
      </c>
      <c r="DS22" s="247">
        <v>7.7940907113851609E-3</v>
      </c>
      <c r="DT22" s="247">
        <v>7.7317335505635229E-3</v>
      </c>
      <c r="DU22" s="247">
        <v>7.7517388608120347E-3</v>
      </c>
      <c r="DV22" s="247">
        <v>7.6987929650996585E-3</v>
      </c>
      <c r="DW22" s="247">
        <v>7.6938202733760688E-3</v>
      </c>
      <c r="DX22" s="247">
        <v>7.6340392127206506E-3</v>
      </c>
    </row>
    <row r="23" spans="1:128">
      <c r="A23" s="252" t="s">
        <v>259</v>
      </c>
      <c r="B23" s="248"/>
      <c r="C23" s="248"/>
      <c r="D23" s="248"/>
      <c r="E23" s="248"/>
      <c r="F23" s="248"/>
      <c r="G23" s="248"/>
      <c r="H23" s="248"/>
      <c r="I23" s="248"/>
      <c r="J23" s="248" t="e">
        <f>-'Balance Sheet'!J77/'Balance Sheet'!J71</f>
        <v>#DIV/0!</v>
      </c>
      <c r="K23" s="248" t="e">
        <f>-'Balance Sheet'!K77/'Balance Sheet'!K71</f>
        <v>#DIV/0!</v>
      </c>
      <c r="L23" s="248" t="e">
        <f>-'Balance Sheet'!L77/'Balance Sheet'!L71</f>
        <v>#DIV/0!</v>
      </c>
      <c r="M23" s="248" t="e">
        <f>-'Balance Sheet'!M77/'Balance Sheet'!M71</f>
        <v>#DIV/0!</v>
      </c>
      <c r="N23" s="248">
        <f>-'Balance Sheet'!N77/'Balance Sheet'!N71</f>
        <v>3.2896419491323964E-2</v>
      </c>
      <c r="O23" s="248">
        <f>-'Balance Sheet'!O77/'Balance Sheet'!O71</f>
        <v>1.5889874585112543E-2</v>
      </c>
      <c r="P23" s="248">
        <f>-'Balance Sheet'!P77/'Balance Sheet'!P71</f>
        <v>1.607642882566614E-2</v>
      </c>
      <c r="Q23" s="251">
        <f>-'Balance Sheet'!Q77/'Balance Sheet'!Q71</f>
        <v>2.1890943187326935E-2</v>
      </c>
      <c r="R23" s="251">
        <f>-'Balance Sheet'!R77/'Balance Sheet'!R71</f>
        <v>3.8201651643369368E-2</v>
      </c>
      <c r="S23" s="251">
        <f>-'Balance Sheet'!S77/'Balance Sheet'!S71</f>
        <v>2.6499979388225531E-2</v>
      </c>
      <c r="T23" s="248">
        <f>-'Balance Sheet'!T77/'Balance Sheet'!T71</f>
        <v>2.5451836165864185E-2</v>
      </c>
      <c r="U23" s="247">
        <f>-'Balance Sheet'!U77/'Balance Sheet'!U71</f>
        <v>2.4808579914129689E-2</v>
      </c>
      <c r="V23" s="247">
        <f>-'Balance Sheet'!V77/'Balance Sheet'!V71</f>
        <v>2.4505357914073614E-2</v>
      </c>
      <c r="W23" s="247">
        <f>-'Balance Sheet'!W77/'Balance Sheet'!W71</f>
        <v>2.3917063484637232E-2</v>
      </c>
      <c r="X23" s="247">
        <f>-'Balance Sheet'!X77/'Balance Sheet'!X71</f>
        <v>2.3357988317302715E-2</v>
      </c>
      <c r="Y23" s="247">
        <f>-'Balance Sheet'!Y77/'Balance Sheet'!Y71</f>
        <v>2.3041386140825154E-2</v>
      </c>
      <c r="Z23" s="247">
        <f>-'Balance Sheet'!Z77/'Balance Sheet'!Z71</f>
        <v>2.2637073150970959E-2</v>
      </c>
      <c r="AA23" s="213"/>
      <c r="AB23" s="252" t="str">
        <f t="shared" si="9"/>
        <v>Provision expenses, % of avg. loans</v>
      </c>
      <c r="AC23" s="249"/>
      <c r="AD23" s="248" t="e">
        <f>-'Balance Sheet'!AD77/'Balance Sheet'!AD71</f>
        <v>#DIV/0!</v>
      </c>
      <c r="AE23" s="248" t="e">
        <f>-'Balance Sheet'!AE77/'Balance Sheet'!AE71</f>
        <v>#DIV/0!</v>
      </c>
      <c r="AF23" s="248" t="e">
        <f>-'Balance Sheet'!AF77/'Balance Sheet'!AF71</f>
        <v>#DIV/0!</v>
      </c>
      <c r="AG23" s="248" t="e">
        <f>-'Balance Sheet'!AG77/'Balance Sheet'!AG71</f>
        <v>#DIV/0!</v>
      </c>
      <c r="AH23" s="248" t="e">
        <f>-'Balance Sheet'!AH77/'Balance Sheet'!AH71</f>
        <v>#DIV/0!</v>
      </c>
      <c r="AI23" s="248" t="e">
        <f>-'Balance Sheet'!AI77/'Balance Sheet'!AI71</f>
        <v>#DIV/0!</v>
      </c>
      <c r="AJ23" s="248" t="e">
        <f>-'Balance Sheet'!AJ77/'Balance Sheet'!AJ71</f>
        <v>#DIV/0!</v>
      </c>
      <c r="AK23" s="248" t="e">
        <f>-'Balance Sheet'!AK77/'Balance Sheet'!AK71</f>
        <v>#DIV/0!</v>
      </c>
      <c r="AL23" s="248" t="e">
        <f>-'Balance Sheet'!AL77/'Balance Sheet'!AL71</f>
        <v>#DIV/0!</v>
      </c>
      <c r="AM23" s="248" t="e">
        <f>-'Balance Sheet'!AM77/'Balance Sheet'!AM71</f>
        <v>#DIV/0!</v>
      </c>
      <c r="AN23" s="248" t="e">
        <f>-'Balance Sheet'!AN77/'Balance Sheet'!AN71</f>
        <v>#DIV/0!</v>
      </c>
      <c r="AO23" s="248" t="e">
        <f>-'Balance Sheet'!AO77/'Balance Sheet'!AO71</f>
        <v>#DIV/0!</v>
      </c>
      <c r="AP23" s="248" t="e">
        <f>-'Balance Sheet'!AP77/'Balance Sheet'!AP71</f>
        <v>#DIV/0!</v>
      </c>
      <c r="AQ23" s="248" t="e">
        <f>-'Balance Sheet'!AQ77/'Balance Sheet'!AQ71</f>
        <v>#DIV/0!</v>
      </c>
      <c r="AR23" s="248" t="e">
        <f>-'Balance Sheet'!AR77/'Balance Sheet'!AR71</f>
        <v>#DIV/0!</v>
      </c>
      <c r="AS23" s="248" t="e">
        <f>-'Balance Sheet'!AS77/'Balance Sheet'!AS71</f>
        <v>#DIV/0!</v>
      </c>
      <c r="AT23" s="248" t="e">
        <f>-'Balance Sheet'!AT77/'Balance Sheet'!AT71</f>
        <v>#DIV/0!</v>
      </c>
      <c r="AU23" s="248" t="e">
        <f>-'Balance Sheet'!AU77/'Balance Sheet'!AU71</f>
        <v>#DIV/0!</v>
      </c>
      <c r="AV23" s="248" t="e">
        <f>-'Balance Sheet'!AV77/'Balance Sheet'!AV71</f>
        <v>#DIV/0!</v>
      </c>
      <c r="AW23" s="248" t="e">
        <f>-'Balance Sheet'!AW77/'Balance Sheet'!AW71</f>
        <v>#DIV/0!</v>
      </c>
      <c r="AX23" s="248" t="e">
        <f>-'Balance Sheet'!AX77/'Balance Sheet'!AX71</f>
        <v>#DIV/0!</v>
      </c>
      <c r="AY23" s="248" t="e">
        <f>-'Balance Sheet'!AY77/'Balance Sheet'!AY71</f>
        <v>#DIV/0!</v>
      </c>
      <c r="AZ23" s="248" t="e">
        <f>-'Balance Sheet'!AZ77/'Balance Sheet'!AZ71</f>
        <v>#DIV/0!</v>
      </c>
      <c r="BA23" s="248" t="e">
        <f>-'Balance Sheet'!BA77/'Balance Sheet'!BA71</f>
        <v>#DIV/0!</v>
      </c>
      <c r="BB23" s="248" t="e">
        <f>-'Balance Sheet'!BB77/'Balance Sheet'!BB71</f>
        <v>#DIV/0!</v>
      </c>
      <c r="BC23" s="248" t="e">
        <f>-'Balance Sheet'!BC77/'Balance Sheet'!BC71</f>
        <v>#DIV/0!</v>
      </c>
      <c r="BD23" s="248" t="e">
        <f>-'Balance Sheet'!BD77/'Balance Sheet'!BD71</f>
        <v>#DIV/0!</v>
      </c>
      <c r="BE23" s="248" t="e">
        <f>-'Balance Sheet'!BE77/'Balance Sheet'!BE71</f>
        <v>#DIV/0!</v>
      </c>
      <c r="BF23" s="248" t="e">
        <f>-'Balance Sheet'!BF77/'Balance Sheet'!BF71</f>
        <v>#DIV/0!</v>
      </c>
      <c r="BG23" s="248" t="e">
        <f>-'Balance Sheet'!BG77/'Balance Sheet'!BG71</f>
        <v>#DIV/0!</v>
      </c>
      <c r="BH23" s="248" t="e">
        <f>-'Balance Sheet'!BH77/'Balance Sheet'!BH71</f>
        <v>#DIV/0!</v>
      </c>
      <c r="BI23" s="248" t="e">
        <f>-'Balance Sheet'!BI77/'Balance Sheet'!BI71*4</f>
        <v>#DIV/0!</v>
      </c>
      <c r="BJ23" s="248" t="e">
        <f>-'Balance Sheet'!BJ77/'Balance Sheet'!BJ71*4</f>
        <v>#DIV/0!</v>
      </c>
      <c r="BK23" s="248" t="e">
        <f>-'Balance Sheet'!BK77/'Balance Sheet'!BK71*4</f>
        <v>#DIV/0!</v>
      </c>
      <c r="BL23" s="248" t="e">
        <f>-'Balance Sheet'!BL77/'Balance Sheet'!BL71*4</f>
        <v>#DIV/0!</v>
      </c>
      <c r="BM23" s="248" t="e">
        <f>-'Balance Sheet'!BM77/'Balance Sheet'!BM71*4</f>
        <v>#DIV/0!</v>
      </c>
      <c r="BN23" s="248" t="e">
        <f>-'Balance Sheet'!BN77/'Balance Sheet'!BN71*4</f>
        <v>#DIV/0!</v>
      </c>
      <c r="BO23" s="248" t="e">
        <f>-'Balance Sheet'!BO77/'Balance Sheet'!BO71*4</f>
        <v>#DIV/0!</v>
      </c>
      <c r="BP23" s="248" t="e">
        <f>-'Balance Sheet'!BP77/'Balance Sheet'!BP71*4</f>
        <v>#DIV/0!</v>
      </c>
      <c r="BQ23" s="248" t="e">
        <f>-'Balance Sheet'!BQ77/'Balance Sheet'!BQ71*4</f>
        <v>#DIV/0!</v>
      </c>
      <c r="BR23" s="248" t="e">
        <f>-'Balance Sheet'!BR77/'Balance Sheet'!BR71*4</f>
        <v>#DIV/0!</v>
      </c>
      <c r="BS23" s="248" t="e">
        <f>-'Balance Sheet'!BS77/'Balance Sheet'!BS71*4</f>
        <v>#DIV/0!</v>
      </c>
      <c r="BT23" s="248" t="e">
        <f>-'Balance Sheet'!BT77/'Balance Sheet'!BT71*4</f>
        <v>#DIV/0!</v>
      </c>
      <c r="BU23" s="248" t="e">
        <f>-'Balance Sheet'!BU77/'Balance Sheet'!BU71*4</f>
        <v>#DIV/0!</v>
      </c>
      <c r="BV23" s="248" t="e">
        <f>-'Balance Sheet'!BV77/'Balance Sheet'!BV71*4</f>
        <v>#DIV/0!</v>
      </c>
      <c r="BW23" s="248" t="e">
        <f>-'Balance Sheet'!BW77/'Balance Sheet'!BW71*4</f>
        <v>#DIV/0!</v>
      </c>
      <c r="BX23" s="248" t="e">
        <f>-'Balance Sheet'!BX77/'Balance Sheet'!BX71*4</f>
        <v>#DIV/0!</v>
      </c>
      <c r="BY23" s="248">
        <f>-'Balance Sheet'!BY77/'Balance Sheet'!BY71*4</f>
        <v>2.4886561546510581E-2</v>
      </c>
      <c r="BZ23" s="248">
        <f>-'Balance Sheet'!BZ77/'Balance Sheet'!BZ71*4</f>
        <v>2.2633208127664024E-2</v>
      </c>
      <c r="CA23" s="248">
        <f>-'Balance Sheet'!CA77/'Balance Sheet'!CA71*4</f>
        <v>1.6255615204853781E-2</v>
      </c>
      <c r="CB23" s="248">
        <f>-'Balance Sheet'!CB77/'Balance Sheet'!CB71*4</f>
        <v>1.7847701697735977E-2</v>
      </c>
      <c r="CC23" s="248">
        <f>-'Balance Sheet'!CC77/'Balance Sheet'!CC71*4</f>
        <v>1.697179159642417E-2</v>
      </c>
      <c r="CD23" s="248">
        <f>-'Balance Sheet'!CD77/'Balance Sheet'!CD71*4</f>
        <v>1.4054633262787532E-2</v>
      </c>
      <c r="CE23" s="248">
        <f>-'Balance Sheet'!CE77/'Balance Sheet'!CE71*4</f>
        <v>1.7972661044941295E-2</v>
      </c>
      <c r="CF23" s="248">
        <f>-'Balance Sheet'!CF77/'Balance Sheet'!CF71*4</f>
        <v>1.6182294771144561E-2</v>
      </c>
      <c r="CG23" s="248">
        <f>-'Balance Sheet'!CG77/'Balance Sheet'!CG71*4</f>
        <v>1.3799668769077574E-2</v>
      </c>
      <c r="CH23" s="248">
        <f>-'Balance Sheet'!CH77/'Balance Sheet'!CH71*4</f>
        <v>1.799469580737028E-2</v>
      </c>
      <c r="CI23" s="248">
        <f>-'Balance Sheet'!CI77/'Balance Sheet'!CI71*4</f>
        <v>1.3181509990761587E-2</v>
      </c>
      <c r="CJ23" s="248">
        <f>-'Balance Sheet'!CJ77/'Balance Sheet'!CJ71*4</f>
        <v>1.9131331046403764E-2</v>
      </c>
      <c r="CK23" s="248">
        <f>-'Balance Sheet'!CK77/'Balance Sheet'!CK71*4</f>
        <v>1.8065237403182607E-2</v>
      </c>
      <c r="CL23" s="248">
        <f>-'Balance Sheet'!CL77/'Balance Sheet'!CL71*4</f>
        <v>2.626832176257022E-2</v>
      </c>
      <c r="CM23" s="248">
        <f>-'Balance Sheet'!CM77/'Balance Sheet'!CM71*4</f>
        <v>2.1350314787551603E-2</v>
      </c>
      <c r="CN23" s="248">
        <f>-'Balance Sheet'!CN77/'Balance Sheet'!CN71*4</f>
        <v>2.1891878732792899E-2</v>
      </c>
      <c r="CO23" s="248">
        <f>-'Balance Sheet'!CO77/'Balance Sheet'!CO71*4</f>
        <v>1.9665833812279154E-2</v>
      </c>
      <c r="CP23" s="248">
        <f>-'Balance Sheet'!CP77/'Balance Sheet'!CP71*4</f>
        <v>2.3981705940757943E-2</v>
      </c>
      <c r="CQ23" s="248">
        <f>-'Balance Sheet'!CQ77/'Balance Sheet'!CQ71*4</f>
        <v>2.4089867267212579E-2</v>
      </c>
      <c r="CR23" s="248">
        <f>-'Balance Sheet'!CR77/'Balance Sheet'!CR71*4</f>
        <v>2.4611461544678269E-2</v>
      </c>
      <c r="CS23" s="248">
        <f>-'Balance Sheet'!CS77/'Balance Sheet'!CS71*4</f>
        <v>2.4077519134916452E-2</v>
      </c>
      <c r="CT23" s="248">
        <f>-'Balance Sheet'!CT77/'Balance Sheet'!CT71*4</f>
        <v>2.9163459617417693E-2</v>
      </c>
      <c r="CU23" s="248">
        <f>-'Balance Sheet'!CU77/'Balance Sheet'!CU71*4</f>
        <v>2.6101333029951709E-2</v>
      </c>
      <c r="CV23" s="248">
        <f>-'Balance Sheet'!CV77/'Balance Sheet'!CV71*4</f>
        <v>2.5386560260892643E-2</v>
      </c>
      <c r="CW23" s="248">
        <f>-'Balance Sheet'!CW77/'Balance Sheet'!CW71*4</f>
        <v>3.0921201676644645E-2</v>
      </c>
      <c r="CX23" s="248">
        <f>-'Balance Sheet'!CX77/'Balance Sheet'!CX71*4</f>
        <v>2.3873995008658194E-2</v>
      </c>
      <c r="CY23" s="248">
        <f>-'Balance Sheet'!CY77/'Balance Sheet'!CY71*4</f>
        <v>2.3208118511057241E-2</v>
      </c>
      <c r="CZ23" s="248">
        <f>-'Balance Sheet'!CZ77/'Balance Sheet'!CZ71*4</f>
        <v>2.4788519540047523E-2</v>
      </c>
      <c r="DA23" s="247">
        <v>2.1826562462437232E-2</v>
      </c>
      <c r="DB23" s="247">
        <v>2.2127417053147195E-2</v>
      </c>
      <c r="DC23" s="247">
        <v>2.1691184036468913E-2</v>
      </c>
      <c r="DD23" s="247">
        <v>2.157927426625748E-2</v>
      </c>
      <c r="DE23" s="247">
        <v>2.1201560884519619E-2</v>
      </c>
      <c r="DF23" s="247">
        <v>2.1207664371861619E-2</v>
      </c>
      <c r="DG23" s="247">
        <v>2.1326694551656169E-2</v>
      </c>
      <c r="DH23" s="247">
        <v>2.1810051050746168E-2</v>
      </c>
      <c r="DI23" s="247">
        <v>2.1534990004588753E-2</v>
      </c>
      <c r="DJ23" s="247">
        <v>2.1384584762059514E-2</v>
      </c>
      <c r="DK23" s="247">
        <v>2.0944850320920454E-2</v>
      </c>
      <c r="DL23" s="247">
        <v>2.0737836062252001E-2</v>
      </c>
      <c r="DM23" s="247">
        <v>2.0516961710492981E-2</v>
      </c>
      <c r="DN23" s="247">
        <v>2.0676872429165785E-2</v>
      </c>
      <c r="DO23" s="247">
        <v>2.0671317714798017E-2</v>
      </c>
      <c r="DP23" s="247">
        <v>2.0848858211614609E-2</v>
      </c>
      <c r="DQ23" s="247">
        <v>2.0492353086322114E-2</v>
      </c>
      <c r="DR23" s="247">
        <v>2.0413275328345665E-2</v>
      </c>
      <c r="DS23" s="247">
        <v>2.0299870100945253E-2</v>
      </c>
      <c r="DT23" s="247">
        <v>2.0460167930052783E-2</v>
      </c>
      <c r="DU23" s="247">
        <v>1.9962279308569111E-2</v>
      </c>
      <c r="DV23" s="247">
        <v>1.9985459935253681E-2</v>
      </c>
      <c r="DW23" s="247">
        <v>2.0175350635264225E-2</v>
      </c>
      <c r="DX23" s="247">
        <v>2.02236691262625E-2</v>
      </c>
    </row>
    <row r="24" spans="1:128">
      <c r="A24" s="252" t="s">
        <v>258</v>
      </c>
      <c r="B24" s="248"/>
      <c r="C24" s="248"/>
      <c r="D24" s="248"/>
      <c r="E24" s="248"/>
      <c r="F24" s="248"/>
      <c r="G24" s="248"/>
      <c r="H24" s="248"/>
      <c r="I24" s="248"/>
      <c r="J24" s="248" t="e">
        <f>'Balance Sheet'!J76/AVERAGE('Balance Sheet'!F80:I80)</f>
        <v>#DIV/0!</v>
      </c>
      <c r="K24" s="248" t="e">
        <f>'Balance Sheet'!K76/AVERAGE('Balance Sheet'!G80:J80)</f>
        <v>#DIV/0!</v>
      </c>
      <c r="L24" s="248" t="e">
        <f>'Balance Sheet'!L76/AVERAGE('Balance Sheet'!H80:K80)</f>
        <v>#DIV/0!</v>
      </c>
      <c r="M24" s="248" t="e">
        <f>'Balance Sheet'!M76/AVERAGE('Balance Sheet'!I80:L80)</f>
        <v>#DIV/0!</v>
      </c>
      <c r="N24" s="248" t="e">
        <f>'Balance Sheet'!N76/AVERAGE('Balance Sheet'!J80:M80)</f>
        <v>#DIV/0!</v>
      </c>
      <c r="O24" s="248">
        <f>'Balance Sheet'!O76/AVERAGE('Balance Sheet'!K80:N80)</f>
        <v>0.3678800540210394</v>
      </c>
      <c r="P24" s="248">
        <f>'Balance Sheet'!P76/AVERAGE('Balance Sheet'!L80:O80)</f>
        <v>0.21371911197070617</v>
      </c>
      <c r="Q24" s="251">
        <f>'Balance Sheet'!Q76/AVERAGE('Balance Sheet'!M80:P80)</f>
        <v>0.13699713565617591</v>
      </c>
      <c r="R24" s="251">
        <f>'Balance Sheet'!R76/AVERAGE('Balance Sheet'!N80:Q80)</f>
        <v>0.17252906187619296</v>
      </c>
      <c r="S24" s="251">
        <f>'Balance Sheet'!S76/AVERAGE('Balance Sheet'!O80:R80)</f>
        <v>0.11921731953471461</v>
      </c>
      <c r="T24" s="248">
        <f>'Balance Sheet'!T76/AVERAGE('Balance Sheet'!P80:S80)</f>
        <v>0.13033534653483039</v>
      </c>
      <c r="U24" s="247">
        <f>'Balance Sheet'!U76/AVERAGE('Balance Sheet'!Q80:T80)</f>
        <v>8.9240538362175936E-2</v>
      </c>
      <c r="V24" s="247">
        <f>'Balance Sheet'!V76/AVERAGE('Balance Sheet'!R80:U80)</f>
        <v>9.0758309540874438E-2</v>
      </c>
      <c r="W24" s="247">
        <f>'Balance Sheet'!W76/AVERAGE('Balance Sheet'!S80:V80)</f>
        <v>8.2873227987526568E-2</v>
      </c>
      <c r="X24" s="247">
        <f>'Balance Sheet'!X76/AVERAGE('Balance Sheet'!T80:W80)</f>
        <v>8.5955192555286969E-2</v>
      </c>
      <c r="Y24" s="247">
        <f>'Balance Sheet'!Y76/AVERAGE('Balance Sheet'!U80:X80)</f>
        <v>9.177906570358299E-2</v>
      </c>
      <c r="Z24" s="247">
        <f>'Balance Sheet'!Z76/AVERAGE('Balance Sheet'!V80:Y80)</f>
        <v>9.4205227950230452E-2</v>
      </c>
      <c r="AA24" s="213"/>
      <c r="AB24" s="252" t="str">
        <f t="shared" si="9"/>
        <v>Recoveries, % of average LTM loan loss reserves</v>
      </c>
      <c r="AC24" s="249"/>
      <c r="AD24" s="248">
        <f>'Balance Sheet'!AD76/AVERAGE('Balance Sheet'!S80:AC80)</f>
        <v>0</v>
      </c>
      <c r="AE24" s="248">
        <f>'Balance Sheet'!AE76/AVERAGE('Balance Sheet'!V80:AD80)</f>
        <v>0</v>
      </c>
      <c r="AF24" s="248" t="e">
        <f>'Balance Sheet'!AF76/AVERAGE('Balance Sheet'!AB80:AE80)</f>
        <v>#DIV/0!</v>
      </c>
      <c r="AG24" s="248" t="e">
        <f>'Balance Sheet'!AG76/AVERAGE('Balance Sheet'!AC80:AF80)</f>
        <v>#DIV/0!</v>
      </c>
      <c r="AH24" s="248" t="e">
        <f>'Balance Sheet'!AH76/AVERAGE('Balance Sheet'!AD80:AG80)</f>
        <v>#DIV/0!</v>
      </c>
      <c r="AI24" s="248" t="e">
        <f>'Balance Sheet'!AI76/AVERAGE('Balance Sheet'!AE80:AH80)</f>
        <v>#DIV/0!</v>
      </c>
      <c r="AJ24" s="248" t="e">
        <f>'Balance Sheet'!AJ76/AVERAGE('Balance Sheet'!AF80:AI80)</f>
        <v>#DIV/0!</v>
      </c>
      <c r="AK24" s="248" t="e">
        <f>'Balance Sheet'!AK76/AVERAGE('Balance Sheet'!AG80:AJ80)</f>
        <v>#DIV/0!</v>
      </c>
      <c r="AL24" s="248" t="e">
        <f>'Balance Sheet'!AL76/AVERAGE('Balance Sheet'!AH80:AK80)</f>
        <v>#DIV/0!</v>
      </c>
      <c r="AM24" s="248" t="e">
        <f>'Balance Sheet'!AM76/AVERAGE('Balance Sheet'!AI80:AL80)</f>
        <v>#DIV/0!</v>
      </c>
      <c r="AN24" s="248" t="e">
        <f>'Balance Sheet'!AN76/AVERAGE('Balance Sheet'!AJ80:AM80)</f>
        <v>#DIV/0!</v>
      </c>
      <c r="AO24" s="248" t="e">
        <f>'Balance Sheet'!AO76/AVERAGE('Balance Sheet'!AK80:AN80)</f>
        <v>#DIV/0!</v>
      </c>
      <c r="AP24" s="248" t="e">
        <f>'Balance Sheet'!AP76/AVERAGE('Balance Sheet'!AL80:AO80)</f>
        <v>#DIV/0!</v>
      </c>
      <c r="AQ24" s="248" t="e">
        <f>'Balance Sheet'!AQ76/AVERAGE('Balance Sheet'!AM80:AP80)</f>
        <v>#DIV/0!</v>
      </c>
      <c r="AR24" s="248" t="e">
        <f>'Balance Sheet'!AR76/AVERAGE('Balance Sheet'!AN80:AQ80)</f>
        <v>#DIV/0!</v>
      </c>
      <c r="AS24" s="248" t="e">
        <f>'Balance Sheet'!AS76/AVERAGE('Balance Sheet'!AO80:AR80)</f>
        <v>#DIV/0!</v>
      </c>
      <c r="AT24" s="248" t="e">
        <f>'Balance Sheet'!AT76/AVERAGE('Balance Sheet'!AP80:AS80)</f>
        <v>#DIV/0!</v>
      </c>
      <c r="AU24" s="248" t="e">
        <f>'Balance Sheet'!AU76/AVERAGE('Balance Sheet'!AQ80:AT80)</f>
        <v>#DIV/0!</v>
      </c>
      <c r="AV24" s="248" t="e">
        <f>'Balance Sheet'!AV76/AVERAGE('Balance Sheet'!AR80:AU80)</f>
        <v>#DIV/0!</v>
      </c>
      <c r="AW24" s="248" t="e">
        <f>'Balance Sheet'!AW76/AVERAGE('Balance Sheet'!AS80:AV80)</f>
        <v>#DIV/0!</v>
      </c>
      <c r="AX24" s="248" t="e">
        <f>'Balance Sheet'!AX76/AVERAGE('Balance Sheet'!AT80:AW80)</f>
        <v>#DIV/0!</v>
      </c>
      <c r="AY24" s="248" t="e">
        <f>'Balance Sheet'!AY76/AVERAGE('Balance Sheet'!AU80:AX80)</f>
        <v>#DIV/0!</v>
      </c>
      <c r="AZ24" s="248" t="e">
        <f>'Balance Sheet'!AZ76/AVERAGE('Balance Sheet'!AV80:AY80)</f>
        <v>#DIV/0!</v>
      </c>
      <c r="BA24" s="248" t="e">
        <f>'Balance Sheet'!BA76/AVERAGE('Balance Sheet'!AW80:AZ80)</f>
        <v>#DIV/0!</v>
      </c>
      <c r="BB24" s="248" t="e">
        <f>'Balance Sheet'!BB76/AVERAGE('Balance Sheet'!AX80:BA80)</f>
        <v>#DIV/0!</v>
      </c>
      <c r="BC24" s="248" t="e">
        <f>'Balance Sheet'!BC76/AVERAGE('Balance Sheet'!AY80:BB80)</f>
        <v>#DIV/0!</v>
      </c>
      <c r="BD24" s="248" t="e">
        <f>'Balance Sheet'!BD76/AVERAGE('Balance Sheet'!AZ80:BC80)</f>
        <v>#DIV/0!</v>
      </c>
      <c r="BE24" s="248" t="e">
        <f>'Balance Sheet'!BE76/AVERAGE('Balance Sheet'!BA80:BD80)</f>
        <v>#DIV/0!</v>
      </c>
      <c r="BF24" s="248" t="e">
        <f>'Balance Sheet'!BF76/AVERAGE('Balance Sheet'!BB80:BE80)</f>
        <v>#DIV/0!</v>
      </c>
      <c r="BG24" s="248" t="e">
        <f>'Balance Sheet'!BG76/AVERAGE('Balance Sheet'!BC80:BF80)</f>
        <v>#DIV/0!</v>
      </c>
      <c r="BH24" s="248" t="e">
        <f>'Balance Sheet'!BH76/AVERAGE('Balance Sheet'!BD80:BG80)</f>
        <v>#DIV/0!</v>
      </c>
      <c r="BI24" s="248" t="e">
        <f>'Balance Sheet'!BI76/AVERAGE('Balance Sheet'!BE80:BH80)</f>
        <v>#DIV/0!</v>
      </c>
      <c r="BJ24" s="248" t="e">
        <f>'Balance Sheet'!BJ76/AVERAGE('Balance Sheet'!BF80:BI80)</f>
        <v>#DIV/0!</v>
      </c>
      <c r="BK24" s="248" t="e">
        <f>'Balance Sheet'!BK76/AVERAGE('Balance Sheet'!BG80:BJ80)</f>
        <v>#DIV/0!</v>
      </c>
      <c r="BL24" s="248" t="e">
        <f>'Balance Sheet'!BL76/AVERAGE('Balance Sheet'!BH80:BK80)</f>
        <v>#DIV/0!</v>
      </c>
      <c r="BM24" s="248" t="e">
        <f>'Balance Sheet'!BM76/AVERAGE('Balance Sheet'!BI80:BL80)</f>
        <v>#DIV/0!</v>
      </c>
      <c r="BN24" s="248" t="e">
        <f>'Balance Sheet'!BN76/AVERAGE('Balance Sheet'!BJ80:BM80)</f>
        <v>#DIV/0!</v>
      </c>
      <c r="BO24" s="248" t="e">
        <f>'Balance Sheet'!BO76/AVERAGE('Balance Sheet'!BK80:BN80)</f>
        <v>#DIV/0!</v>
      </c>
      <c r="BP24" s="248" t="e">
        <f>'Balance Sheet'!BP76/AVERAGE('Balance Sheet'!BL80:BO80)</f>
        <v>#DIV/0!</v>
      </c>
      <c r="BQ24" s="248" t="e">
        <f>'Balance Sheet'!BQ76/AVERAGE('Balance Sheet'!BM80:BP80)</f>
        <v>#DIV/0!</v>
      </c>
      <c r="BR24" s="248" t="e">
        <f>'Balance Sheet'!BR76/AVERAGE('Balance Sheet'!BN80:BQ80)</f>
        <v>#DIV/0!</v>
      </c>
      <c r="BS24" s="248" t="e">
        <f>'Balance Sheet'!BS76/AVERAGE('Balance Sheet'!BO80:BR80)</f>
        <v>#DIV/0!</v>
      </c>
      <c r="BT24" s="248" t="e">
        <f>'Balance Sheet'!BT76/AVERAGE('Balance Sheet'!BP80:BS80)</f>
        <v>#DIV/0!</v>
      </c>
      <c r="BU24" s="248" t="e">
        <f>'Balance Sheet'!BU76/AVERAGE('Balance Sheet'!BQ80:BT80)</f>
        <v>#DIV/0!</v>
      </c>
      <c r="BV24" s="248" t="e">
        <f>'Balance Sheet'!BV76/AVERAGE('Balance Sheet'!BR80:BU80)</f>
        <v>#DIV/0!</v>
      </c>
      <c r="BW24" s="248" t="e">
        <f>'Balance Sheet'!BW76/AVERAGE('Balance Sheet'!BS80:BV80)</f>
        <v>#DIV/0!</v>
      </c>
      <c r="BX24" s="248" t="e">
        <f>'Balance Sheet'!BX76/AVERAGE('Balance Sheet'!BT80:BW80)</f>
        <v>#DIV/0!</v>
      </c>
      <c r="BY24" s="248" t="e">
        <f>'Balance Sheet'!BY76/AVERAGE('Balance Sheet'!BU80:BX80)</f>
        <v>#DIV/0!</v>
      </c>
      <c r="BZ24" s="248">
        <f>'Balance Sheet'!BZ76/AVERAGE('Balance Sheet'!BV80:BY80)</f>
        <v>8.829071726398291E-2</v>
      </c>
      <c r="CA24" s="248">
        <f>'Balance Sheet'!CA76/AVERAGE('Balance Sheet'!BW80:BZ80)</f>
        <v>3.700516926556064E-2</v>
      </c>
      <c r="CB24" s="248">
        <f>'Balance Sheet'!CB76/AVERAGE('Balance Sheet'!BX80:CA80)</f>
        <v>2.547039912124386E-2</v>
      </c>
      <c r="CC24" s="248">
        <f>'Balance Sheet'!CC76/AVERAGE('Balance Sheet'!BY80:CB80)</f>
        <v>2.2532025206809303E-2</v>
      </c>
      <c r="CD24" s="248">
        <f>'Balance Sheet'!CD76/AVERAGE('Balance Sheet'!BZ80:CC80)</f>
        <v>3.5939265174765207E-2</v>
      </c>
      <c r="CE24" s="248">
        <f>'Balance Sheet'!CE76/AVERAGE('Balance Sheet'!CA80:CD80)</f>
        <v>1.7397225605493435E-2</v>
      </c>
      <c r="CF24" s="248">
        <f>'Balance Sheet'!CF76/AVERAGE('Balance Sheet'!CB80:CE80)</f>
        <v>1.9712812912006664E-2</v>
      </c>
      <c r="CG24" s="248">
        <f>'Balance Sheet'!CG76/AVERAGE('Balance Sheet'!CC80:CF80)</f>
        <v>2.2350080446788601E-2</v>
      </c>
      <c r="CH24" s="248">
        <f>'Balance Sheet'!CH76/AVERAGE('Balance Sheet'!CD80:CG80)</f>
        <v>2.1971792754258521E-2</v>
      </c>
      <c r="CI24" s="248">
        <f>'Balance Sheet'!CI76/AVERAGE('Balance Sheet'!CE80:CH80)</f>
        <v>2.5763295764541814E-2</v>
      </c>
      <c r="CJ24" s="248">
        <f>'Balance Sheet'!CJ76/AVERAGE('Balance Sheet'!CF80:CI80)</f>
        <v>2.4697396909295323E-2</v>
      </c>
      <c r="CK24" s="248">
        <f>'Balance Sheet'!CK76/AVERAGE('Balance Sheet'!CG80:CJ80)</f>
        <v>2.1953604004344571E-2</v>
      </c>
      <c r="CL24" s="248">
        <f>'Balance Sheet'!CL76/AVERAGE('Balance Sheet'!CH80:CK80)</f>
        <v>2.2458512794573188E-2</v>
      </c>
      <c r="CM24" s="248">
        <f>'Balance Sheet'!CM76/AVERAGE('Balance Sheet'!CI80:CL80)</f>
        <v>2.1155377240310955E-2</v>
      </c>
      <c r="CN24" s="248">
        <f>'Balance Sheet'!CN76/AVERAGE('Balance Sheet'!CJ80:CM80)</f>
        <v>1.8314165560314656E-2</v>
      </c>
      <c r="CO24" s="248">
        <f>'Balance Sheet'!CO76/AVERAGE('Balance Sheet'!CK80:CN80)</f>
        <v>1.6463011912985531E-2</v>
      </c>
      <c r="CP24" s="248">
        <f>'Balance Sheet'!CP76/AVERAGE('Balance Sheet'!CL80:CO80)</f>
        <v>1.8712390889386633E-2</v>
      </c>
      <c r="CQ24" s="248">
        <f>'Balance Sheet'!CQ76/AVERAGE('Balance Sheet'!CM80:CP80)</f>
        <v>1.8785599461587629E-2</v>
      </c>
      <c r="CR24" s="248">
        <f>'Balance Sheet'!CR76/AVERAGE('Balance Sheet'!CN80:CQ80)</f>
        <v>2.0325690415644398E-2</v>
      </c>
      <c r="CS24" s="248">
        <f>'Balance Sheet'!CS76/AVERAGE('Balance Sheet'!CO80:CR80)</f>
        <v>1.9301771299287136E-2</v>
      </c>
      <c r="CT24" s="248">
        <f>'Balance Sheet'!CT76/AVERAGE('Balance Sheet'!CP80:CS80)</f>
        <v>1.8447918002529849E-2</v>
      </c>
      <c r="CU24" s="248">
        <f>'Balance Sheet'!CU76/AVERAGE('Balance Sheet'!CQ80:CT80)</f>
        <v>2.0352913898138595E-2</v>
      </c>
      <c r="CV24" s="248">
        <f>'Balance Sheet'!CV76/AVERAGE('Balance Sheet'!CR80:CU80)</f>
        <v>1.9707541950273164E-2</v>
      </c>
      <c r="CW24" s="248">
        <f>'Balance Sheet'!CW76/AVERAGE('Balance Sheet'!CS80:CV80)</f>
        <v>3.9094976909932411E-2</v>
      </c>
      <c r="CX24" s="248">
        <f>'Balance Sheet'!CX76/AVERAGE('Balance Sheet'!CT80:CW80)</f>
        <v>1.8750116692645747E-2</v>
      </c>
      <c r="CY24" s="248">
        <f>'Balance Sheet'!CY76/AVERAGE('Balance Sheet'!CU80:CX80)</f>
        <v>1.5525441405958875E-2</v>
      </c>
      <c r="CZ24" s="248">
        <f>'Balance Sheet'!CZ76/AVERAGE('Balance Sheet'!CV80:CY80)</f>
        <v>1.4070931840006504E-2</v>
      </c>
      <c r="DA24" s="247">
        <v>1.4999999999999999E-2</v>
      </c>
      <c r="DB24" s="247">
        <v>1.6E-2</v>
      </c>
      <c r="DC24" s="247">
        <v>1.7000000000000001E-2</v>
      </c>
      <c r="DD24" s="247">
        <v>1.7999999999999999E-2</v>
      </c>
      <c r="DE24" s="247">
        <v>1.9E-2</v>
      </c>
      <c r="DF24" s="247">
        <v>1.95E-2</v>
      </c>
      <c r="DG24" s="247">
        <v>1.95E-2</v>
      </c>
      <c r="DH24" s="247">
        <v>1.95E-2</v>
      </c>
      <c r="DI24" s="247">
        <v>1.95E-2</v>
      </c>
      <c r="DJ24" s="247">
        <v>1.95E-2</v>
      </c>
      <c r="DK24" s="247">
        <v>1.95E-2</v>
      </c>
      <c r="DL24" s="247">
        <v>1.95E-2</v>
      </c>
      <c r="DM24" s="247">
        <v>1.95E-2</v>
      </c>
      <c r="DN24" s="247">
        <v>1.95E-2</v>
      </c>
      <c r="DO24" s="247">
        <v>1.95E-2</v>
      </c>
      <c r="DP24" s="247">
        <v>1.95E-2</v>
      </c>
      <c r="DQ24" s="247">
        <v>1.95E-2</v>
      </c>
      <c r="DR24" s="247">
        <v>1.95E-2</v>
      </c>
      <c r="DS24" s="247">
        <v>1.95E-2</v>
      </c>
      <c r="DT24" s="247">
        <v>1.95E-2</v>
      </c>
      <c r="DU24" s="247">
        <v>1.95E-2</v>
      </c>
      <c r="DV24" s="247">
        <v>1.95E-2</v>
      </c>
      <c r="DW24" s="247">
        <v>1.95E-2</v>
      </c>
      <c r="DX24" s="247">
        <v>1.95E-2</v>
      </c>
    </row>
    <row r="25" spans="1:128">
      <c r="A25" s="252"/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51"/>
      <c r="R25" s="251"/>
      <c r="S25" s="251"/>
      <c r="T25" s="248"/>
      <c r="U25" s="247"/>
      <c r="V25" s="247"/>
      <c r="W25" s="247"/>
      <c r="X25" s="247"/>
      <c r="Y25" s="247"/>
      <c r="Z25" s="247"/>
      <c r="AA25" s="213"/>
      <c r="AB25" s="252"/>
      <c r="AC25" s="249"/>
      <c r="AD25" s="248"/>
      <c r="AE25" s="248"/>
      <c r="AF25" s="248"/>
      <c r="AG25" s="248"/>
      <c r="AH25" s="248"/>
      <c r="AI25" s="248"/>
      <c r="AJ25" s="248"/>
      <c r="AK25" s="248"/>
      <c r="AL25" s="248"/>
      <c r="AM25" s="248"/>
      <c r="AN25" s="248"/>
      <c r="AO25" s="248"/>
      <c r="AP25" s="248"/>
      <c r="AQ25" s="248"/>
      <c r="AR25" s="248"/>
      <c r="AS25" s="248"/>
      <c r="AT25" s="248"/>
      <c r="AU25" s="248"/>
      <c r="AV25" s="248"/>
      <c r="AW25" s="248"/>
      <c r="AX25" s="248"/>
      <c r="AY25" s="248"/>
      <c r="AZ25" s="248"/>
      <c r="BA25" s="248"/>
      <c r="BB25" s="248"/>
      <c r="BC25" s="248"/>
      <c r="BD25" s="248"/>
      <c r="BE25" s="248"/>
      <c r="BF25" s="248"/>
      <c r="BG25" s="248"/>
      <c r="BH25" s="248"/>
      <c r="BI25" s="248"/>
      <c r="BJ25" s="248"/>
      <c r="BK25" s="248"/>
      <c r="BL25" s="248"/>
      <c r="BM25" s="248"/>
      <c r="BN25" s="248"/>
      <c r="BO25" s="248"/>
      <c r="BP25" s="248"/>
      <c r="BQ25" s="248"/>
      <c r="BR25" s="248"/>
      <c r="BS25" s="248"/>
      <c r="BT25" s="248"/>
      <c r="BU25" s="248"/>
      <c r="BV25" s="248"/>
      <c r="BW25" s="248"/>
      <c r="BX25" s="248"/>
      <c r="BY25" s="248"/>
      <c r="BZ25" s="248"/>
      <c r="CA25" s="248"/>
      <c r="CB25" s="248"/>
      <c r="CC25" s="248"/>
      <c r="CD25" s="248"/>
      <c r="CE25" s="248"/>
      <c r="CF25" s="248"/>
      <c r="CG25" s="248"/>
      <c r="CH25" s="248"/>
      <c r="CI25" s="248"/>
      <c r="CJ25" s="248"/>
      <c r="CK25" s="248"/>
      <c r="CL25" s="247"/>
      <c r="CM25" s="247"/>
      <c r="CN25" s="247"/>
      <c r="CO25" s="247"/>
      <c r="CP25" s="247"/>
      <c r="CQ25" s="247"/>
      <c r="CR25" s="247"/>
      <c r="CS25" s="247"/>
      <c r="CT25" s="247"/>
      <c r="CU25" s="247"/>
      <c r="CV25" s="247"/>
      <c r="CW25" s="247"/>
      <c r="CX25" s="247"/>
      <c r="CY25" s="247"/>
      <c r="CZ25" s="247"/>
      <c r="DA25" s="247"/>
      <c r="DB25" s="247"/>
      <c r="DC25" s="247"/>
      <c r="DD25" s="247"/>
      <c r="DE25" s="247"/>
      <c r="DF25" s="247"/>
      <c r="DG25" s="247"/>
      <c r="DH25" s="247"/>
      <c r="DI25" s="247"/>
      <c r="DJ25" s="247"/>
      <c r="DK25" s="247"/>
      <c r="DL25" s="247"/>
      <c r="DM25" s="247"/>
      <c r="DN25" s="247"/>
      <c r="DO25" s="247"/>
      <c r="DP25" s="247"/>
      <c r="DQ25" s="247"/>
      <c r="DR25" s="247"/>
      <c r="DS25" s="247"/>
      <c r="DT25" s="247"/>
      <c r="DU25" s="247"/>
      <c r="DV25" s="247"/>
      <c r="DW25" s="247"/>
      <c r="DX25" s="247"/>
    </row>
    <row r="26" spans="1:128">
      <c r="A26" s="257" t="s">
        <v>257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51"/>
      <c r="R26" s="251"/>
      <c r="S26" s="251"/>
      <c r="T26" s="248"/>
      <c r="U26" s="247"/>
      <c r="V26" s="247"/>
      <c r="W26" s="247"/>
      <c r="X26" s="247"/>
      <c r="Y26" s="247"/>
      <c r="Z26" s="247"/>
      <c r="AA26" s="213"/>
      <c r="AB26" s="257" t="str">
        <f>A26</f>
        <v xml:space="preserve">Fees </v>
      </c>
      <c r="AC26" s="249"/>
      <c r="AD26" s="248"/>
      <c r="AE26" s="248"/>
      <c r="AF26" s="248"/>
      <c r="AG26" s="248"/>
      <c r="AH26" s="248"/>
      <c r="AI26" s="248"/>
      <c r="AJ26" s="248"/>
      <c r="AK26" s="248"/>
      <c r="AL26" s="248"/>
      <c r="AM26" s="248"/>
      <c r="AN26" s="248"/>
      <c r="AO26" s="248"/>
      <c r="AP26" s="248"/>
      <c r="AQ26" s="248"/>
      <c r="AR26" s="248"/>
      <c r="AS26" s="248"/>
      <c r="AT26" s="248"/>
      <c r="AU26" s="248"/>
      <c r="AV26" s="248"/>
      <c r="AW26" s="248"/>
      <c r="AX26" s="248"/>
      <c r="AY26" s="248"/>
      <c r="AZ26" s="248"/>
      <c r="BA26" s="248"/>
      <c r="BB26" s="248"/>
      <c r="BC26" s="248"/>
      <c r="BD26" s="248"/>
      <c r="BE26" s="248"/>
      <c r="BF26" s="248"/>
      <c r="BG26" s="248"/>
      <c r="BH26" s="248"/>
      <c r="BI26" s="248"/>
      <c r="BJ26" s="248"/>
      <c r="BK26" s="248"/>
      <c r="BL26" s="248"/>
      <c r="BM26" s="248"/>
      <c r="BN26" s="248"/>
      <c r="BO26" s="248"/>
      <c r="BP26" s="248"/>
      <c r="BQ26" s="248"/>
      <c r="BR26" s="248"/>
      <c r="BS26" s="248"/>
      <c r="BT26" s="248"/>
      <c r="BU26" s="248"/>
      <c r="BV26" s="248"/>
      <c r="BW26" s="248"/>
      <c r="BX26" s="248"/>
      <c r="BY26" s="248"/>
      <c r="BZ26" s="248"/>
      <c r="CA26" s="248"/>
      <c r="CB26" s="248"/>
      <c r="CC26" s="248"/>
      <c r="CD26" s="248"/>
      <c r="CE26" s="248"/>
      <c r="CF26" s="248"/>
      <c r="CG26" s="248"/>
      <c r="CH26" s="248"/>
      <c r="CI26" s="248"/>
      <c r="CJ26" s="248"/>
      <c r="CK26" s="248"/>
      <c r="CL26" s="247"/>
      <c r="CM26" s="247"/>
      <c r="CN26" s="247"/>
      <c r="CO26" s="247"/>
      <c r="CP26" s="247"/>
      <c r="CQ26" s="247"/>
      <c r="CR26" s="247"/>
      <c r="CS26" s="247"/>
      <c r="CT26" s="247"/>
      <c r="CU26" s="247"/>
      <c r="CV26" s="247"/>
      <c r="CW26" s="247"/>
      <c r="CX26" s="247"/>
      <c r="CY26" s="247"/>
      <c r="CZ26" s="247"/>
      <c r="DA26" s="247"/>
      <c r="DB26" s="247"/>
      <c r="DC26" s="247"/>
      <c r="DD26" s="247"/>
      <c r="DE26" s="247"/>
      <c r="DF26" s="247"/>
      <c r="DG26" s="247"/>
      <c r="DH26" s="247"/>
      <c r="DI26" s="247"/>
      <c r="DJ26" s="247"/>
      <c r="DK26" s="247"/>
      <c r="DL26" s="247"/>
      <c r="DM26" s="247"/>
      <c r="DN26" s="247"/>
      <c r="DO26" s="247"/>
      <c r="DP26" s="247"/>
      <c r="DQ26" s="247"/>
      <c r="DR26" s="247"/>
      <c r="DS26" s="247"/>
      <c r="DT26" s="247"/>
      <c r="DU26" s="247"/>
      <c r="DV26" s="247"/>
      <c r="DW26" s="247"/>
      <c r="DX26" s="247"/>
    </row>
    <row r="27" spans="1:128">
      <c r="A27" s="252" t="s">
        <v>256</v>
      </c>
      <c r="B27" s="248"/>
      <c r="C27" s="248"/>
      <c r="D27" s="248"/>
      <c r="E27" s="248"/>
      <c r="F27" s="248"/>
      <c r="G27" s="248"/>
      <c r="H27" s="248"/>
      <c r="I27" s="248"/>
      <c r="J27" s="248" t="e">
        <f>'Income Statement'!J17/'Income Statement'!I17-1</f>
        <v>#DIV/0!</v>
      </c>
      <c r="K27" s="248" t="e">
        <f>'Income Statement'!K17/'Income Statement'!J17-1</f>
        <v>#DIV/0!</v>
      </c>
      <c r="L27" s="248" t="e">
        <f>'Income Statement'!L17/'Income Statement'!K17-1</f>
        <v>#DIV/0!</v>
      </c>
      <c r="M27" s="248" t="e">
        <f>'Income Statement'!M17/'Income Statement'!L17-1</f>
        <v>#DIV/0!</v>
      </c>
      <c r="N27" s="248" t="e">
        <f>'Income Statement'!N17/'Income Statement'!M17-1</f>
        <v>#DIV/0!</v>
      </c>
      <c r="O27" s="248">
        <f>'Income Statement'!O17/'Income Statement'!N17-1</f>
        <v>0.13279799974371076</v>
      </c>
      <c r="P27" s="248">
        <f>'Income Statement'!P17/'Income Statement'!O17-1</f>
        <v>0.10518774596190772</v>
      </c>
      <c r="Q27" s="251">
        <f>'Income Statement'!Q17/'Income Statement'!P17-1</f>
        <v>0.18355924182295591</v>
      </c>
      <c r="R27" s="251">
        <f>'Income Statement'!R17/'Income Statement'!Q17-1</f>
        <v>0.16966872648960929</v>
      </c>
      <c r="S27" s="251">
        <f>'Income Statement'!S17/'Income Statement'!R17-1</f>
        <v>0.11160720628681964</v>
      </c>
      <c r="T27" s="248">
        <f>'Income Statement'!T17/'Income Statement'!S17-1</f>
        <v>4.852111363573286E-2</v>
      </c>
      <c r="U27" s="247">
        <f>'Income Statement'!U17/'Income Statement'!T17-1</f>
        <v>8.4543463610600167E-2</v>
      </c>
      <c r="V27" s="247">
        <f>'Income Statement'!V17/'Income Statement'!U17-1</f>
        <v>0.11330846000000006</v>
      </c>
      <c r="W27" s="247">
        <f>'Income Statement'!W17/'Income Statement'!V17-1</f>
        <v>0.14954543725983971</v>
      </c>
      <c r="X27" s="247">
        <f>'Income Statement'!X17/'Income Statement'!W17-1</f>
        <v>0.12550881000000014</v>
      </c>
      <c r="Y27" s="247">
        <f>'Income Statement'!Y17/'Income Statement'!X17-1</f>
        <v>0.12550881000000014</v>
      </c>
      <c r="Z27" s="247">
        <f>'Income Statement'!Z17/'Income Statement'!Y17-1</f>
        <v>0.12550881000000014</v>
      </c>
      <c r="AA27" s="213"/>
      <c r="AB27" s="252" t="str">
        <f>A27</f>
        <v>Fee income, % growth</v>
      </c>
      <c r="AC27" s="249"/>
      <c r="AD27" s="248" t="e">
        <f>'Income Statement'!AD17/'Income Statement'!AC17-1</f>
        <v>#DIV/0!</v>
      </c>
      <c r="AE27" s="248" t="e">
        <f>'Income Statement'!AE17/'Income Statement'!AD17-1</f>
        <v>#DIV/0!</v>
      </c>
      <c r="AF27" s="248" t="e">
        <f>'Income Statement'!AF17/'Income Statement'!AE17-1</f>
        <v>#DIV/0!</v>
      </c>
      <c r="AG27" s="248" t="e">
        <f>'Income Statement'!AG17/'Income Statement'!AF17-1</f>
        <v>#DIV/0!</v>
      </c>
      <c r="AH27" s="248" t="e">
        <f>'Income Statement'!AH17/'Income Statement'!AG17-1</f>
        <v>#DIV/0!</v>
      </c>
      <c r="AI27" s="248" t="e">
        <f>'Income Statement'!AI17/'Income Statement'!AH17-1</f>
        <v>#DIV/0!</v>
      </c>
      <c r="AJ27" s="248" t="e">
        <f>'Income Statement'!AJ17/'Income Statement'!AI17-1</f>
        <v>#DIV/0!</v>
      </c>
      <c r="AK27" s="248" t="e">
        <f>'Income Statement'!AK17/'Income Statement'!AJ17-1</f>
        <v>#DIV/0!</v>
      </c>
      <c r="AL27" s="248" t="e">
        <f>'Income Statement'!AL17/'Income Statement'!AK17-1</f>
        <v>#DIV/0!</v>
      </c>
      <c r="AM27" s="248" t="e">
        <f>'Income Statement'!AM17/'Income Statement'!AL17-1</f>
        <v>#DIV/0!</v>
      </c>
      <c r="AN27" s="248" t="e">
        <f>'Income Statement'!AN17/'Income Statement'!AM17-1</f>
        <v>#DIV/0!</v>
      </c>
      <c r="AO27" s="248" t="e">
        <f>'Income Statement'!AO17/'Income Statement'!AN17-1</f>
        <v>#DIV/0!</v>
      </c>
      <c r="AP27" s="248" t="e">
        <f>'Income Statement'!AP17/'Income Statement'!AO17-1</f>
        <v>#DIV/0!</v>
      </c>
      <c r="AQ27" s="248" t="e">
        <f>'Income Statement'!AQ17/'Income Statement'!AP17-1</f>
        <v>#DIV/0!</v>
      </c>
      <c r="AR27" s="248" t="e">
        <f>'Income Statement'!AR17/'Income Statement'!AQ17-1</f>
        <v>#DIV/0!</v>
      </c>
      <c r="AS27" s="248" t="e">
        <f>'Income Statement'!AS17/'Income Statement'!AR17-1</f>
        <v>#DIV/0!</v>
      </c>
      <c r="AT27" s="248" t="e">
        <f>'Income Statement'!AT17/'Income Statement'!AS17-1</f>
        <v>#DIV/0!</v>
      </c>
      <c r="AU27" s="248" t="e">
        <f>'Income Statement'!AU17/'Income Statement'!AT17-1</f>
        <v>#DIV/0!</v>
      </c>
      <c r="AV27" s="248" t="e">
        <f>'Income Statement'!AV17/'Income Statement'!AU17-1</f>
        <v>#DIV/0!</v>
      </c>
      <c r="AW27" s="248" t="e">
        <f>'Income Statement'!AW17/'Income Statement'!AV17-1</f>
        <v>#DIV/0!</v>
      </c>
      <c r="AX27" s="248" t="e">
        <f>'Income Statement'!AX17/'Income Statement'!AW17-1</f>
        <v>#DIV/0!</v>
      </c>
      <c r="AY27" s="248" t="e">
        <f>'Income Statement'!AY17/'Income Statement'!AX17-1</f>
        <v>#DIV/0!</v>
      </c>
      <c r="AZ27" s="248" t="e">
        <f>'Income Statement'!AZ17/'Income Statement'!AY17-1</f>
        <v>#DIV/0!</v>
      </c>
      <c r="BA27" s="248" t="e">
        <f>'Income Statement'!BA17/'Income Statement'!AZ17-1</f>
        <v>#DIV/0!</v>
      </c>
      <c r="BB27" s="248" t="e">
        <f>'Income Statement'!BB17/'Income Statement'!BA17-1</f>
        <v>#DIV/0!</v>
      </c>
      <c r="BC27" s="248" t="e">
        <f>'Income Statement'!BC17/'Income Statement'!BB17-1</f>
        <v>#DIV/0!</v>
      </c>
      <c r="BD27" s="248" t="e">
        <f>'Income Statement'!BD17/'Income Statement'!BC17-1</f>
        <v>#DIV/0!</v>
      </c>
      <c r="BE27" s="248" t="e">
        <f>'Income Statement'!BE17/'Income Statement'!BD17-1</f>
        <v>#DIV/0!</v>
      </c>
      <c r="BF27" s="248" t="e">
        <f>'Income Statement'!BF17/'Income Statement'!BE17-1</f>
        <v>#DIV/0!</v>
      </c>
      <c r="BG27" s="248" t="e">
        <f>'Income Statement'!BG17/'Income Statement'!BF17-1</f>
        <v>#DIV/0!</v>
      </c>
      <c r="BH27" s="248" t="e">
        <f>'Income Statement'!BH17/'Income Statement'!BG17-1</f>
        <v>#DIV/0!</v>
      </c>
      <c r="BI27" s="248" t="e">
        <f>'Income Statement'!BI17/'Income Statement'!BH17-1</f>
        <v>#DIV/0!</v>
      </c>
      <c r="BJ27" s="248" t="e">
        <f>'Income Statement'!BJ17/'Income Statement'!BI17-1</f>
        <v>#DIV/0!</v>
      </c>
      <c r="BK27" s="248" t="e">
        <f>'Income Statement'!BK17/'Income Statement'!BJ17-1</f>
        <v>#DIV/0!</v>
      </c>
      <c r="BL27" s="248" t="e">
        <f>'Income Statement'!BL17/'Income Statement'!BK17-1</f>
        <v>#DIV/0!</v>
      </c>
      <c r="BM27" s="248" t="e">
        <f>'Income Statement'!BM17/'Income Statement'!BL17-1</f>
        <v>#DIV/0!</v>
      </c>
      <c r="BN27" s="248" t="e">
        <f>'Income Statement'!BN17/'Income Statement'!BM17-1</f>
        <v>#DIV/0!</v>
      </c>
      <c r="BO27" s="248" t="e">
        <f>'Income Statement'!BO17/'Income Statement'!BN17-1</f>
        <v>#DIV/0!</v>
      </c>
      <c r="BP27" s="248" t="e">
        <f>'Income Statement'!BP17/'Income Statement'!BO17-1</f>
        <v>#DIV/0!</v>
      </c>
      <c r="BQ27" s="248" t="e">
        <f>'Income Statement'!BQ17/'Income Statement'!BP17-1</f>
        <v>#DIV/0!</v>
      </c>
      <c r="BR27" s="248" t="e">
        <f>'Income Statement'!BR17/'Income Statement'!BQ17-1</f>
        <v>#DIV/0!</v>
      </c>
      <c r="BS27" s="248" t="e">
        <f>'Income Statement'!BS17/'Income Statement'!BR17-1</f>
        <v>#DIV/0!</v>
      </c>
      <c r="BT27" s="248" t="e">
        <f>'Income Statement'!BT17/'Income Statement'!BS17-1</f>
        <v>#DIV/0!</v>
      </c>
      <c r="BU27" s="248" t="e">
        <f>'Income Statement'!BU17/'Income Statement'!BT17-1</f>
        <v>#DIV/0!</v>
      </c>
      <c r="BV27" s="248" t="e">
        <f>'Income Statement'!BV17/'Income Statement'!BU17-1</f>
        <v>#DIV/0!</v>
      </c>
      <c r="BW27" s="248" t="e">
        <f>'Income Statement'!BW17/'Income Statement'!BV17-1</f>
        <v>#DIV/0!</v>
      </c>
      <c r="BX27" s="248" t="e">
        <f>'Income Statement'!BX17/'Income Statement'!BW17-1</f>
        <v>#DIV/0!</v>
      </c>
      <c r="BY27" s="248" t="e">
        <f>'Income Statement'!BY17/'Income Statement'!BX17-1</f>
        <v>#DIV/0!</v>
      </c>
      <c r="BZ27" s="248">
        <f>'Income Statement'!BZ17/'Income Statement'!BY17-1</f>
        <v>-2.6218618763180435E-2</v>
      </c>
      <c r="CA27" s="248">
        <f>'Income Statement'!CA17/'Income Statement'!BZ17-1</f>
        <v>6.1832991076647748E-2</v>
      </c>
      <c r="CB27" s="248">
        <f>'Income Statement'!CB17/'Income Statement'!CA17-1</f>
        <v>0.12368953623497991</v>
      </c>
      <c r="CC27" s="248">
        <f>'Income Statement'!CC17/'Income Statement'!CB17-1</f>
        <v>-2.0653271980293098E-2</v>
      </c>
      <c r="CD27" s="248">
        <f>'Income Statement'!CD17/'Income Statement'!CC17-1</f>
        <v>2.1542393593944942E-2</v>
      </c>
      <c r="CE27" s="248">
        <f>'Income Statement'!CE17/'Income Statement'!CD17-1</f>
        <v>3.5167675740695126E-2</v>
      </c>
      <c r="CF27" s="248">
        <f>'Income Statement'!CF17/'Income Statement'!CE17-1</f>
        <v>1.3733865225706188E-2</v>
      </c>
      <c r="CG27" s="248">
        <f>'Income Statement'!CG17/'Income Statement'!CF17-1</f>
        <v>3.6006856908281426E-2</v>
      </c>
      <c r="CH27" s="248">
        <f>'Income Statement'!CH17/'Income Statement'!CG17-1</f>
        <v>6.2822580972262454E-2</v>
      </c>
      <c r="CI27" s="248">
        <f>'Income Statement'!CI17/'Income Statement'!CH17-1</f>
        <v>-1.0705040482810624E-2</v>
      </c>
      <c r="CJ27" s="248">
        <f>'Income Statement'!CJ17/'Income Statement'!CI17-1</f>
        <v>-3.3195081142647243E-2</v>
      </c>
      <c r="CK27" s="248">
        <f>'Income Statement'!CK17/'Income Statement'!CJ17-1</f>
        <v>8.1186146683220883E-2</v>
      </c>
      <c r="CL27" s="248">
        <f>'Income Statement'!CL17/'Income Statement'!CK17-1</f>
        <v>8.5131552153004053E-2</v>
      </c>
      <c r="CM27" s="248">
        <f>'Income Statement'!CM17/'Income Statement'!CL17-1</f>
        <v>6.8563887598683593E-2</v>
      </c>
      <c r="CN27" s="248">
        <f>'Income Statement'!CN17/'Income Statement'!CM17-1</f>
        <v>3.8082022875200128E-2</v>
      </c>
      <c r="CO27" s="248">
        <f>'Income Statement'!CO17/'Income Statement'!CN17-1</f>
        <v>-3.1698126776556812E-2</v>
      </c>
      <c r="CP27" s="248">
        <f>'Income Statement'!CP17/'Income Statement'!CO17-1</f>
        <v>0.13888508161218982</v>
      </c>
      <c r="CQ27" s="248">
        <f>'Income Statement'!CQ17/'Income Statement'!CP17-1</f>
        <v>-3.010990463784724E-3</v>
      </c>
      <c r="CR27" s="248">
        <f>'Income Statement'!CR17/'Income Statement'!CQ17-1</f>
        <v>4.7851598694974795E-2</v>
      </c>
      <c r="CS27" s="248">
        <f>'Income Statement'!CS17/'Income Statement'!CR17-1</f>
        <v>7.3827653613673938E-3</v>
      </c>
      <c r="CT27" s="248">
        <f>'Income Statement'!CT17/'Income Statement'!CS17-1</f>
        <v>5.7133006624474625E-3</v>
      </c>
      <c r="CU27" s="248">
        <f>'Income Statement'!CU17/'Income Statement'!CT17-1</f>
        <v>3.5782789327194475E-3</v>
      </c>
      <c r="CV27" s="248">
        <f>'Income Statement'!CV17/'Income Statement'!CU17-1</f>
        <v>0.11481561606891599</v>
      </c>
      <c r="CW27" s="248">
        <f>'Income Statement'!CW17/'Income Statement'!CV17-1</f>
        <v>-6.0896196614057096E-2</v>
      </c>
      <c r="CX27" s="248">
        <f>'Income Statement'!CX17/'Income Statement'!CW17-1</f>
        <v>3.041979283031937E-2</v>
      </c>
      <c r="CY27" s="248">
        <f>'Income Statement'!CY17/'Income Statement'!CX17-1</f>
        <v>-1.9618338796693613E-2</v>
      </c>
      <c r="CZ27" s="248">
        <f>'Income Statement'!CZ17/'Income Statement'!CY17-1</f>
        <v>5.6858327117249363E-2</v>
      </c>
      <c r="DA27" s="247">
        <v>-0.01</v>
      </c>
      <c r="DB27" s="247">
        <v>0.03</v>
      </c>
      <c r="DC27" s="247">
        <v>0.03</v>
      </c>
      <c r="DD27" s="247">
        <v>0.06</v>
      </c>
      <c r="DE27" s="247">
        <v>-0.01</v>
      </c>
      <c r="DF27" s="247">
        <v>0.03</v>
      </c>
      <c r="DG27" s="247">
        <v>0.03</v>
      </c>
      <c r="DH27" s="247">
        <v>0.06</v>
      </c>
      <c r="DI27" s="247">
        <v>0.03</v>
      </c>
      <c r="DJ27" s="247">
        <v>0.03</v>
      </c>
      <c r="DK27" s="247">
        <v>0.03</v>
      </c>
      <c r="DL27" s="247">
        <v>0.03</v>
      </c>
      <c r="DM27" s="247">
        <v>0.03</v>
      </c>
      <c r="DN27" s="247">
        <v>0.03</v>
      </c>
      <c r="DO27" s="247">
        <v>0.03</v>
      </c>
      <c r="DP27" s="247">
        <v>0.03</v>
      </c>
      <c r="DQ27" s="247">
        <v>0.03</v>
      </c>
      <c r="DR27" s="247">
        <v>0.03</v>
      </c>
      <c r="DS27" s="247">
        <v>0.03</v>
      </c>
      <c r="DT27" s="247">
        <v>0.03</v>
      </c>
      <c r="DU27" s="247">
        <v>0.03</v>
      </c>
      <c r="DV27" s="247">
        <v>0.03</v>
      </c>
      <c r="DW27" s="247">
        <v>0.03</v>
      </c>
      <c r="DX27" s="247">
        <v>0.03</v>
      </c>
    </row>
    <row r="28" spans="1:128">
      <c r="A28" s="252" t="s">
        <v>255</v>
      </c>
      <c r="B28" s="248"/>
      <c r="C28" s="248"/>
      <c r="D28" s="248"/>
      <c r="E28" s="248"/>
      <c r="F28" s="248"/>
      <c r="G28" s="248"/>
      <c r="H28" s="248"/>
      <c r="I28" s="248"/>
      <c r="J28" s="248" t="e">
        <f>'Income Statement'!J18/'Income Statement'!I18-1</f>
        <v>#DIV/0!</v>
      </c>
      <c r="K28" s="248" t="e">
        <f>'Income Statement'!K18/'Income Statement'!J18-1</f>
        <v>#DIV/0!</v>
      </c>
      <c r="L28" s="248" t="e">
        <f>'Income Statement'!L18/'Income Statement'!K18-1</f>
        <v>#DIV/0!</v>
      </c>
      <c r="M28" s="248" t="e">
        <f>'Income Statement'!M18/'Income Statement'!L18-1</f>
        <v>#DIV/0!</v>
      </c>
      <c r="N28" s="248" t="e">
        <f>'Income Statement'!N18/'Income Statement'!M18-1</f>
        <v>#DIV/0!</v>
      </c>
      <c r="O28" s="248">
        <f>'Income Statement'!O18/'Income Statement'!N18-1</f>
        <v>0.13840939044150158</v>
      </c>
      <c r="P28" s="248">
        <f>'Income Statement'!P18/'Income Statement'!O18-1</f>
        <v>0.26891933352573227</v>
      </c>
      <c r="Q28" s="251">
        <f>'Income Statement'!Q18/'Income Statement'!P18-1</f>
        <v>0.25075724639978714</v>
      </c>
      <c r="R28" s="251">
        <f>'Income Statement'!R18/'Income Statement'!Q18-1</f>
        <v>0.14811092665571102</v>
      </c>
      <c r="S28" s="251">
        <f>'Income Statement'!S18/'Income Statement'!R18-1</f>
        <v>0.16580694538712648</v>
      </c>
      <c r="T28" s="248">
        <f>'Income Statement'!T18/'Income Statement'!S18-1</f>
        <v>0.23793815092709614</v>
      </c>
      <c r="U28" s="247">
        <f>'Income Statement'!U18/'Income Statement'!T18-1</f>
        <v>9.4799489340770426E-2</v>
      </c>
      <c r="V28" s="247">
        <f>'Income Statement'!V18/'Income Statement'!U18-1</f>
        <v>3.4866847763129094E-2</v>
      </c>
      <c r="W28" s="247">
        <f>'Income Statement'!W18/'Income Statement'!V18-1</f>
        <v>3.3909443366665792E-2</v>
      </c>
      <c r="X28" s="247">
        <f>'Income Statement'!X18/'Income Statement'!W18-1</f>
        <v>3.4095760014524412E-2</v>
      </c>
      <c r="Y28" s="247">
        <f>'Income Statement'!Y18/'Income Statement'!X18-1</f>
        <v>3.4095760014524634E-2</v>
      </c>
      <c r="Z28" s="247">
        <f>'Income Statement'!Z18/'Income Statement'!Y18-1</f>
        <v>3.4095760014524634E-2</v>
      </c>
      <c r="AA28" s="213"/>
      <c r="AB28" s="252" t="str">
        <f>A28</f>
        <v>Net gain on foreign exchange transactions, % growth</v>
      </c>
      <c r="AC28" s="249"/>
      <c r="AD28" s="248" t="e">
        <f>'Income Statement'!AD18/'Income Statement'!AC18-1</f>
        <v>#DIV/0!</v>
      </c>
      <c r="AE28" s="248" t="e">
        <f>'Income Statement'!AE18/'Income Statement'!AD18-1</f>
        <v>#DIV/0!</v>
      </c>
      <c r="AF28" s="248" t="e">
        <f>'Income Statement'!AF18/'Income Statement'!AE18-1</f>
        <v>#DIV/0!</v>
      </c>
      <c r="AG28" s="248" t="e">
        <f>'Income Statement'!AG18/'Income Statement'!AF18-1</f>
        <v>#DIV/0!</v>
      </c>
      <c r="AH28" s="248" t="e">
        <f>'Income Statement'!AH18/'Income Statement'!AG18-1</f>
        <v>#DIV/0!</v>
      </c>
      <c r="AI28" s="248" t="e">
        <f>'Income Statement'!AI18/'Income Statement'!AH18-1</f>
        <v>#DIV/0!</v>
      </c>
      <c r="AJ28" s="248" t="e">
        <f>'Income Statement'!AJ18/'Income Statement'!AI18-1</f>
        <v>#DIV/0!</v>
      </c>
      <c r="AK28" s="248" t="e">
        <f>'Income Statement'!AK18/'Income Statement'!AJ18-1</f>
        <v>#DIV/0!</v>
      </c>
      <c r="AL28" s="248" t="e">
        <f>'Income Statement'!AL18/'Income Statement'!AK18-1</f>
        <v>#DIV/0!</v>
      </c>
      <c r="AM28" s="248" t="e">
        <f>'Income Statement'!AM18/'Income Statement'!AL18-1</f>
        <v>#DIV/0!</v>
      </c>
      <c r="AN28" s="248" t="e">
        <f>'Income Statement'!AN18/'Income Statement'!AM18-1</f>
        <v>#DIV/0!</v>
      </c>
      <c r="AO28" s="248" t="e">
        <f>'Income Statement'!AO18/'Income Statement'!AN18-1</f>
        <v>#DIV/0!</v>
      </c>
      <c r="AP28" s="248" t="e">
        <f>'Income Statement'!AP18/'Income Statement'!AO18-1</f>
        <v>#DIV/0!</v>
      </c>
      <c r="AQ28" s="248" t="e">
        <f>'Income Statement'!AQ18/'Income Statement'!AP18-1</f>
        <v>#DIV/0!</v>
      </c>
      <c r="AR28" s="248" t="e">
        <f>'Income Statement'!AR18/'Income Statement'!AQ18-1</f>
        <v>#DIV/0!</v>
      </c>
      <c r="AS28" s="248" t="e">
        <f>'Income Statement'!AS18/'Income Statement'!AR18-1</f>
        <v>#DIV/0!</v>
      </c>
      <c r="AT28" s="248" t="e">
        <f>'Income Statement'!AT18/'Income Statement'!AS18-1</f>
        <v>#DIV/0!</v>
      </c>
      <c r="AU28" s="248" t="e">
        <f>'Income Statement'!AU18/'Income Statement'!AT18-1</f>
        <v>#DIV/0!</v>
      </c>
      <c r="AV28" s="248" t="e">
        <f>'Income Statement'!AV18/'Income Statement'!AU18-1</f>
        <v>#DIV/0!</v>
      </c>
      <c r="AW28" s="248" t="e">
        <f>'Income Statement'!AW18/'Income Statement'!AV18-1</f>
        <v>#DIV/0!</v>
      </c>
      <c r="AX28" s="248" t="e">
        <f>'Income Statement'!AX18/'Income Statement'!AW18-1</f>
        <v>#DIV/0!</v>
      </c>
      <c r="AY28" s="248" t="e">
        <f>'Income Statement'!AY18/'Income Statement'!AX18-1</f>
        <v>#DIV/0!</v>
      </c>
      <c r="AZ28" s="248" t="e">
        <f>'Income Statement'!AZ18/'Income Statement'!AY18-1</f>
        <v>#DIV/0!</v>
      </c>
      <c r="BA28" s="248" t="e">
        <f>'Income Statement'!BA18/'Income Statement'!AZ18-1</f>
        <v>#DIV/0!</v>
      </c>
      <c r="BB28" s="248" t="e">
        <f>'Income Statement'!BB18/'Income Statement'!BA18-1</f>
        <v>#DIV/0!</v>
      </c>
      <c r="BC28" s="248" t="e">
        <f>'Income Statement'!BC18/'Income Statement'!BB18-1</f>
        <v>#DIV/0!</v>
      </c>
      <c r="BD28" s="248" t="e">
        <f>'Income Statement'!BD18/'Income Statement'!BC18-1</f>
        <v>#DIV/0!</v>
      </c>
      <c r="BE28" s="248" t="e">
        <f>'Income Statement'!BE18/'Income Statement'!BD18-1</f>
        <v>#DIV/0!</v>
      </c>
      <c r="BF28" s="248" t="e">
        <f>'Income Statement'!BF18/'Income Statement'!BE18-1</f>
        <v>#DIV/0!</v>
      </c>
      <c r="BG28" s="248" t="e">
        <f>'Income Statement'!BG18/'Income Statement'!BF18-1</f>
        <v>#DIV/0!</v>
      </c>
      <c r="BH28" s="248" t="e">
        <f>'Income Statement'!BH18/'Income Statement'!BG18-1</f>
        <v>#DIV/0!</v>
      </c>
      <c r="BI28" s="248" t="e">
        <f>'Income Statement'!BI18/'Income Statement'!BH18-1</f>
        <v>#DIV/0!</v>
      </c>
      <c r="BJ28" s="248" t="e">
        <f>'Income Statement'!BJ18/'Income Statement'!BI18-1</f>
        <v>#DIV/0!</v>
      </c>
      <c r="BK28" s="248" t="e">
        <f>'Income Statement'!BK18/'Income Statement'!BJ18-1</f>
        <v>#DIV/0!</v>
      </c>
      <c r="BL28" s="248" t="e">
        <f>'Income Statement'!BL18/'Income Statement'!BK18-1</f>
        <v>#DIV/0!</v>
      </c>
      <c r="BM28" s="248" t="e">
        <f>'Income Statement'!BM18/'Income Statement'!BL18-1</f>
        <v>#DIV/0!</v>
      </c>
      <c r="BN28" s="248" t="e">
        <f>'Income Statement'!BN18/'Income Statement'!BM18-1</f>
        <v>#DIV/0!</v>
      </c>
      <c r="BO28" s="248" t="e">
        <f>'Income Statement'!BO18/'Income Statement'!BN18-1</f>
        <v>#DIV/0!</v>
      </c>
      <c r="BP28" s="248" t="e">
        <f>'Income Statement'!BP18/'Income Statement'!BO18-1</f>
        <v>#DIV/0!</v>
      </c>
      <c r="BQ28" s="248" t="e">
        <f>'Income Statement'!BQ18/'Income Statement'!BP18-1</f>
        <v>#DIV/0!</v>
      </c>
      <c r="BR28" s="248" t="e">
        <f>'Income Statement'!BR18/'Income Statement'!BQ18-1</f>
        <v>#DIV/0!</v>
      </c>
      <c r="BS28" s="248" t="e">
        <f>'Income Statement'!BS18/'Income Statement'!BR18-1</f>
        <v>#DIV/0!</v>
      </c>
      <c r="BT28" s="248" t="e">
        <f>'Income Statement'!BT18/'Income Statement'!BS18-1</f>
        <v>#DIV/0!</v>
      </c>
      <c r="BU28" s="248" t="e">
        <f>'Income Statement'!BU18/'Income Statement'!BT18-1</f>
        <v>#DIV/0!</v>
      </c>
      <c r="BV28" s="248" t="e">
        <f>'Income Statement'!BV18/'Income Statement'!BU18-1</f>
        <v>#DIV/0!</v>
      </c>
      <c r="BW28" s="248" t="e">
        <f>'Income Statement'!BW18/'Income Statement'!BV18-1</f>
        <v>#DIV/0!</v>
      </c>
      <c r="BX28" s="248" t="e">
        <f>'Income Statement'!BX18/'Income Statement'!BW18-1</f>
        <v>#DIV/0!</v>
      </c>
      <c r="BY28" s="248" t="e">
        <f>'Income Statement'!BY18/'Income Statement'!BX18-1</f>
        <v>#DIV/0!</v>
      </c>
      <c r="BZ28" s="248">
        <f>'Income Statement'!BZ18/'Income Statement'!BY18-1</f>
        <v>-5.3559389035135574E-2</v>
      </c>
      <c r="CA28" s="248">
        <f>'Income Statement'!CA18/'Income Statement'!BZ18-1</f>
        <v>0.18605320029428785</v>
      </c>
      <c r="CB28" s="248">
        <f>'Income Statement'!CB18/'Income Statement'!CA18-1</f>
        <v>-3.8604492510454946E-2</v>
      </c>
      <c r="CC28" s="248">
        <f>'Income Statement'!CC18/'Income Statement'!CB18-1</f>
        <v>7.7220782140060118E-2</v>
      </c>
      <c r="CD28" s="248">
        <f>'Income Statement'!CD18/'Income Statement'!CC18-1</f>
        <v>-7.4526374799702477E-2</v>
      </c>
      <c r="CE28" s="248">
        <f>'Income Statement'!CE18/'Income Statement'!CD18-1</f>
        <v>9.5689553408559114E-2</v>
      </c>
      <c r="CF28" s="248">
        <f>'Income Statement'!CF18/'Income Statement'!CE18-1</f>
        <v>0.10705507541899029</v>
      </c>
      <c r="CG28" s="248">
        <f>'Income Statement'!CG18/'Income Statement'!CF18-1</f>
        <v>7.349652557905717E-2</v>
      </c>
      <c r="CH28" s="248">
        <f>'Income Statement'!CH18/'Income Statement'!CG18-1</f>
        <v>0.11986919647175109</v>
      </c>
      <c r="CI28" s="248">
        <f>'Income Statement'!CI18/'Income Statement'!CH18-1</f>
        <v>-1.0213065658496334E-2</v>
      </c>
      <c r="CJ28" s="248">
        <f>'Income Statement'!CJ18/'Income Statement'!CI18-1</f>
        <v>-5.3682240771386502E-2</v>
      </c>
      <c r="CK28" s="248">
        <f>'Income Statement'!CK18/'Income Statement'!CJ18-1</f>
        <v>0.14757237571301896</v>
      </c>
      <c r="CL28" s="248">
        <f>'Income Statement'!CL18/'Income Statement'!CK18-1</f>
        <v>0.1133701525946329</v>
      </c>
      <c r="CM28" s="248">
        <f>'Income Statement'!CM18/'Income Statement'!CL18-1</f>
        <v>2.2649611130589609E-3</v>
      </c>
      <c r="CN28" s="248">
        <f>'Income Statement'!CN18/'Income Statement'!CM18-1</f>
        <v>8.8905672894016297E-2</v>
      </c>
      <c r="CO28" s="248">
        <f>'Income Statement'!CO18/'Income Statement'!CN18-1</f>
        <v>-2.6738186734431513E-2</v>
      </c>
      <c r="CP28" s="248">
        <f>'Income Statement'!CP18/'Income Statement'!CO18-1</f>
        <v>0.1794559952009025</v>
      </c>
      <c r="CQ28" s="248">
        <f>'Income Statement'!CQ18/'Income Statement'!CP18-1</f>
        <v>-7.2329999983987037E-2</v>
      </c>
      <c r="CR28" s="248">
        <f>'Income Statement'!CR18/'Income Statement'!CQ18-1</f>
        <v>-4.847694036096073E-2</v>
      </c>
      <c r="CS28" s="248">
        <f>'Income Statement'!CS18/'Income Statement'!CR18-1</f>
        <v>2.1762690817006991E-2</v>
      </c>
      <c r="CT28" s="248">
        <f>'Income Statement'!CT18/'Income Statement'!CS18-1</f>
        <v>6.5436609702774096E-2</v>
      </c>
      <c r="CU28" s="248">
        <f>'Income Statement'!CU18/'Income Statement'!CT18-1</f>
        <v>0.16513891748734366</v>
      </c>
      <c r="CV28" s="248">
        <f>'Income Statement'!CV18/'Income Statement'!CU18-1</f>
        <v>0.14532867755047318</v>
      </c>
      <c r="CW28" s="248">
        <f>'Income Statement'!CW18/'Income Statement'!CV18-1</f>
        <v>6.6514139774934256E-2</v>
      </c>
      <c r="CX28" s="248">
        <f>'Income Statement'!CX18/'Income Statement'!CW18-1</f>
        <v>-0.16044720273789448</v>
      </c>
      <c r="CY28" s="248">
        <f>'Income Statement'!CY18/'Income Statement'!CX18-1</f>
        <v>0.17599310693169334</v>
      </c>
      <c r="CZ28" s="248">
        <f>'Income Statement'!CZ18/'Income Statement'!CY18-1</f>
        <v>4.6805994886357949E-2</v>
      </c>
      <c r="DA28" s="247">
        <v>8.0000000000000002E-3</v>
      </c>
      <c r="DB28" s="247">
        <v>0.01</v>
      </c>
      <c r="DC28" s="247">
        <f t="shared" ref="DC28:DX28" si="10">(1+DC$17)*(1+DC$14)-1+0.1%</f>
        <v>8.905753498819613E-3</v>
      </c>
      <c r="DD28" s="247">
        <f t="shared" si="10"/>
        <v>8.6615015110583782E-3</v>
      </c>
      <c r="DE28" s="247">
        <f t="shared" si="10"/>
        <v>8.6615015110583782E-3</v>
      </c>
      <c r="DF28" s="247">
        <f t="shared" si="10"/>
        <v>8.1724639967380996E-3</v>
      </c>
      <c r="DG28" s="247">
        <f t="shared" si="10"/>
        <v>8.1724639967380996E-3</v>
      </c>
      <c r="DH28" s="247">
        <f t="shared" si="10"/>
        <v>8.4170717777328763E-3</v>
      </c>
      <c r="DI28" s="247">
        <f t="shared" si="10"/>
        <v>8.4170717777328763E-3</v>
      </c>
      <c r="DJ28" s="247">
        <f t="shared" si="10"/>
        <v>8.4170717777328763E-3</v>
      </c>
      <c r="DK28" s="247">
        <f t="shared" si="10"/>
        <v>8.4170717777328763E-3</v>
      </c>
      <c r="DL28" s="247">
        <f t="shared" si="10"/>
        <v>8.4170717777328763E-3</v>
      </c>
      <c r="DM28" s="247">
        <f t="shared" si="10"/>
        <v>8.4170717777328763E-3</v>
      </c>
      <c r="DN28" s="247">
        <f t="shared" si="10"/>
        <v>8.4170717777328763E-3</v>
      </c>
      <c r="DO28" s="247">
        <f t="shared" si="10"/>
        <v>8.4170717777328763E-3</v>
      </c>
      <c r="DP28" s="247">
        <f t="shared" si="10"/>
        <v>8.4170717777328763E-3</v>
      </c>
      <c r="DQ28" s="247">
        <f t="shared" si="10"/>
        <v>8.4170717777328763E-3</v>
      </c>
      <c r="DR28" s="247">
        <f t="shared" si="10"/>
        <v>8.4170717777328763E-3</v>
      </c>
      <c r="DS28" s="247">
        <f t="shared" si="10"/>
        <v>8.4170717777328763E-3</v>
      </c>
      <c r="DT28" s="247">
        <f t="shared" si="10"/>
        <v>8.4170717777328763E-3</v>
      </c>
      <c r="DU28" s="247">
        <f t="shared" si="10"/>
        <v>8.4170717777328763E-3</v>
      </c>
      <c r="DV28" s="247">
        <f t="shared" si="10"/>
        <v>8.4170717777328763E-3</v>
      </c>
      <c r="DW28" s="247">
        <f t="shared" si="10"/>
        <v>8.4170717777328763E-3</v>
      </c>
      <c r="DX28" s="247">
        <f t="shared" si="10"/>
        <v>8.4170717777328763E-3</v>
      </c>
    </row>
    <row r="29" spans="1:128">
      <c r="A29" s="252" t="s">
        <v>254</v>
      </c>
      <c r="B29" s="248"/>
      <c r="C29" s="248"/>
      <c r="D29" s="248"/>
      <c r="E29" s="248"/>
      <c r="F29" s="248"/>
      <c r="G29" s="248"/>
      <c r="H29" s="248"/>
      <c r="I29" s="248"/>
      <c r="J29" s="248" t="e">
        <f>'Income Statement'!J19/AVERAGE('Balance Sheet'!I17:J17)</f>
        <v>#DIV/0!</v>
      </c>
      <c r="K29" s="248" t="e">
        <f>'Income Statement'!K19/AVERAGE('Balance Sheet'!J17:K17)</f>
        <v>#DIV/0!</v>
      </c>
      <c r="L29" s="248" t="e">
        <f>'Income Statement'!L19/AVERAGE('Balance Sheet'!K17:L17)</f>
        <v>#DIV/0!</v>
      </c>
      <c r="M29" s="248" t="e">
        <f>'Income Statement'!M19/AVERAGE('Balance Sheet'!L17:M17)</f>
        <v>#DIV/0!</v>
      </c>
      <c r="N29" s="248">
        <f>'Income Statement'!N19/AVERAGE('Balance Sheet'!M17:N17)</f>
        <v>4.6337119003050604E-2</v>
      </c>
      <c r="O29" s="248">
        <f>'Income Statement'!O19/AVERAGE('Balance Sheet'!N17:O17)</f>
        <v>1.8598931767062152E-2</v>
      </c>
      <c r="P29" s="248">
        <f>'Income Statement'!P19/AVERAGE('Balance Sheet'!O17:P17)</f>
        <v>1.1021038196216137E-2</v>
      </c>
      <c r="Q29" s="251">
        <f>'Income Statement'!Q19/AVERAGE('Balance Sheet'!P17:Q17)</f>
        <v>1.6510537602831044E-2</v>
      </c>
      <c r="R29" s="251">
        <f>'Income Statement'!R19/AVERAGE('Balance Sheet'!Q17:R17)</f>
        <v>4.2336044767416134E-3</v>
      </c>
      <c r="S29" s="251">
        <f>'Income Statement'!S19/AVERAGE('Balance Sheet'!R17:S17)</f>
        <v>1.0940457014550667E-2</v>
      </c>
      <c r="T29" s="248">
        <f>'Income Statement'!T19/AVERAGE('Balance Sheet'!S17:T17)</f>
        <v>-1.1475198746474676E-3</v>
      </c>
      <c r="U29" s="247">
        <f>'Income Statement'!U19/AVERAGE('Balance Sheet'!T17:U17)</f>
        <v>1.1014323134664243E-2</v>
      </c>
      <c r="V29" s="247">
        <f>'Income Statement'!V19/AVERAGE('Balance Sheet'!U17:V17)</f>
        <v>1.2000278135866717E-2</v>
      </c>
      <c r="W29" s="247">
        <f>'Income Statement'!W19/AVERAGE('Balance Sheet'!V17:W17)</f>
        <v>1.1999180957191475E-2</v>
      </c>
      <c r="X29" s="247">
        <f>'Income Statement'!X19/AVERAGE('Balance Sheet'!W17:X17)</f>
        <v>1.1999180957191474E-2</v>
      </c>
      <c r="Y29" s="247">
        <f>'Income Statement'!Y19/AVERAGE('Balance Sheet'!X17:Y17)</f>
        <v>1.1999180957191477E-2</v>
      </c>
      <c r="Z29" s="247">
        <f>'Income Statement'!Z19/AVERAGE('Balance Sheet'!Y17:Z17)</f>
        <v>1.1999180957191474E-2</v>
      </c>
      <c r="AA29" s="213"/>
      <c r="AB29" s="252" t="str">
        <f>A29</f>
        <v>Net gain on sales of securities, % of available for sale securities</v>
      </c>
      <c r="AC29" s="249"/>
      <c r="AD29" s="248" t="e">
        <f>'Income Statement'!AD19/AVERAGE('Balance Sheet'!AC17:AD17)</f>
        <v>#DIV/0!</v>
      </c>
      <c r="AE29" s="248" t="e">
        <f>'Income Statement'!AE19/AVERAGE('Balance Sheet'!AD17:AE17)</f>
        <v>#DIV/0!</v>
      </c>
      <c r="AF29" s="248" t="e">
        <f>'Income Statement'!AF19/AVERAGE('Balance Sheet'!AE17:AF17)</f>
        <v>#DIV/0!</v>
      </c>
      <c r="AG29" s="248" t="e">
        <f>'Income Statement'!AG19/AVERAGE('Balance Sheet'!AF17:AG17)</f>
        <v>#DIV/0!</v>
      </c>
      <c r="AH29" s="248" t="e">
        <f>'Income Statement'!AH19/AVERAGE('Balance Sheet'!AG17:AH17)</f>
        <v>#DIV/0!</v>
      </c>
      <c r="AI29" s="248" t="e">
        <f>'Income Statement'!AI19/AVERAGE('Balance Sheet'!AH17:AI17)</f>
        <v>#DIV/0!</v>
      </c>
      <c r="AJ29" s="248" t="e">
        <f>'Income Statement'!AJ19/AVERAGE('Balance Sheet'!AI17:AJ17)</f>
        <v>#DIV/0!</v>
      </c>
      <c r="AK29" s="248" t="e">
        <f>'Income Statement'!AK19/AVERAGE('Balance Sheet'!AJ17:AK17)</f>
        <v>#DIV/0!</v>
      </c>
      <c r="AL29" s="248" t="e">
        <f>'Income Statement'!AL19/AVERAGE('Balance Sheet'!AK17:AL17)</f>
        <v>#DIV/0!</v>
      </c>
      <c r="AM29" s="248" t="e">
        <f>'Income Statement'!AM19/AVERAGE('Balance Sheet'!AL17:AM17)</f>
        <v>#DIV/0!</v>
      </c>
      <c r="AN29" s="248" t="e">
        <f>'Income Statement'!AN19/AVERAGE('Balance Sheet'!AM17:AN17)</f>
        <v>#DIV/0!</v>
      </c>
      <c r="AO29" s="248" t="e">
        <f>'Income Statement'!AO19/AVERAGE('Balance Sheet'!AN17:AO17)</f>
        <v>#DIV/0!</v>
      </c>
      <c r="AP29" s="248" t="e">
        <f>'Income Statement'!AP19/AVERAGE('Balance Sheet'!AO17:AP17)</f>
        <v>#DIV/0!</v>
      </c>
      <c r="AQ29" s="248" t="e">
        <f>'Income Statement'!AQ19/AVERAGE('Balance Sheet'!AP17:AQ17)</f>
        <v>#DIV/0!</v>
      </c>
      <c r="AR29" s="248" t="e">
        <f>'Income Statement'!AR19/AVERAGE('Balance Sheet'!AQ17:AR17)</f>
        <v>#DIV/0!</v>
      </c>
      <c r="AS29" s="248" t="e">
        <f>'Income Statement'!AS19/AVERAGE('Balance Sheet'!AR17:AS17)</f>
        <v>#DIV/0!</v>
      </c>
      <c r="AT29" s="248" t="e">
        <f>'Income Statement'!AT19/AVERAGE('Balance Sheet'!AS17:AT17)</f>
        <v>#DIV/0!</v>
      </c>
      <c r="AU29" s="248" t="e">
        <f>'Income Statement'!AU19/AVERAGE('Balance Sheet'!AT17:AU17)</f>
        <v>#DIV/0!</v>
      </c>
      <c r="AV29" s="248" t="e">
        <f>'Income Statement'!AV19/AVERAGE('Balance Sheet'!AU17:AV17)</f>
        <v>#DIV/0!</v>
      </c>
      <c r="AW29" s="248" t="e">
        <f>'Income Statement'!AW19/AVERAGE('Balance Sheet'!AV17:AW17)</f>
        <v>#DIV/0!</v>
      </c>
      <c r="AX29" s="248" t="e">
        <f>'Income Statement'!AX19/AVERAGE('Balance Sheet'!AW17:AX17)</f>
        <v>#DIV/0!</v>
      </c>
      <c r="AY29" s="248" t="e">
        <f>'Income Statement'!AY19/AVERAGE('Balance Sheet'!AX17:AY17)</f>
        <v>#DIV/0!</v>
      </c>
      <c r="AZ29" s="248" t="e">
        <f>'Income Statement'!AZ19/AVERAGE('Balance Sheet'!AY17:AZ17)</f>
        <v>#DIV/0!</v>
      </c>
      <c r="BA29" s="248" t="e">
        <f>'Income Statement'!BA19/AVERAGE('Balance Sheet'!AZ17:BA17)</f>
        <v>#DIV/0!</v>
      </c>
      <c r="BB29" s="248" t="e">
        <f>'Income Statement'!BB19/AVERAGE('Balance Sheet'!BA17:BB17)</f>
        <v>#DIV/0!</v>
      </c>
      <c r="BC29" s="248" t="e">
        <f>'Income Statement'!BC19/AVERAGE('Balance Sheet'!BB17:BC17)</f>
        <v>#DIV/0!</v>
      </c>
      <c r="BD29" s="248" t="e">
        <f>'Income Statement'!BD19/AVERAGE('Balance Sheet'!BC17:BD17)</f>
        <v>#DIV/0!</v>
      </c>
      <c r="BE29" s="248" t="e">
        <f>'Income Statement'!BE19/AVERAGE('Balance Sheet'!BD17:BE17)</f>
        <v>#DIV/0!</v>
      </c>
      <c r="BF29" s="248" t="e">
        <f>'Income Statement'!BF19/AVERAGE('Balance Sheet'!BE17:BF17)</f>
        <v>#DIV/0!</v>
      </c>
      <c r="BG29" s="248" t="e">
        <f>'Income Statement'!BG19/AVERAGE('Balance Sheet'!BF17:BG17)</f>
        <v>#DIV/0!</v>
      </c>
      <c r="BH29" s="248" t="e">
        <f>'Income Statement'!BH19/AVERAGE('Balance Sheet'!BG17:BH17)</f>
        <v>#DIV/0!</v>
      </c>
      <c r="BI29" s="248" t="e">
        <f>'Income Statement'!BI19/AVERAGE('Balance Sheet'!BH17:BI17)</f>
        <v>#DIV/0!</v>
      </c>
      <c r="BJ29" s="248" t="e">
        <f>'Income Statement'!BJ19/AVERAGE('Balance Sheet'!BI17:BJ17)</f>
        <v>#DIV/0!</v>
      </c>
      <c r="BK29" s="248" t="e">
        <f>'Income Statement'!BK19/AVERAGE('Balance Sheet'!BJ17:BK17)</f>
        <v>#DIV/0!</v>
      </c>
      <c r="BL29" s="248" t="e">
        <f>'Income Statement'!BL19/AVERAGE('Balance Sheet'!BK17:BL17)</f>
        <v>#DIV/0!</v>
      </c>
      <c r="BM29" s="248" t="e">
        <f>'Income Statement'!BM19/AVERAGE('Balance Sheet'!BL17:BM17)</f>
        <v>#DIV/0!</v>
      </c>
      <c r="BN29" s="248" t="e">
        <f>'Income Statement'!BN19/AVERAGE('Balance Sheet'!BM17:BN17)</f>
        <v>#DIV/0!</v>
      </c>
      <c r="BO29" s="248" t="e">
        <f>'Income Statement'!BO19/AVERAGE('Balance Sheet'!BN17:BO17)</f>
        <v>#DIV/0!</v>
      </c>
      <c r="BP29" s="248" t="e">
        <f>'Income Statement'!BP19/AVERAGE('Balance Sheet'!BO17:BP17)</f>
        <v>#DIV/0!</v>
      </c>
      <c r="BQ29" s="248" t="e">
        <f>'Income Statement'!BQ19/AVERAGE('Balance Sheet'!BP17:BQ17)</f>
        <v>#DIV/0!</v>
      </c>
      <c r="BR29" s="248" t="e">
        <f>'Income Statement'!BR19/AVERAGE('Balance Sheet'!BQ17:BR17)</f>
        <v>#DIV/0!</v>
      </c>
      <c r="BS29" s="248" t="e">
        <f>'Income Statement'!BS19/AVERAGE('Balance Sheet'!BR17:BS17)</f>
        <v>#DIV/0!</v>
      </c>
      <c r="BT29" s="248" t="e">
        <f>'Income Statement'!BT19/AVERAGE('Balance Sheet'!BS17:BT17)</f>
        <v>#DIV/0!</v>
      </c>
      <c r="BU29" s="248" t="e">
        <f>'Income Statement'!BU19/AVERAGE('Balance Sheet'!BT17:BU17)</f>
        <v>#DIV/0!</v>
      </c>
      <c r="BV29" s="248" t="e">
        <f>'Income Statement'!BV19/AVERAGE('Balance Sheet'!BU17:BV17)</f>
        <v>#DIV/0!</v>
      </c>
      <c r="BW29" s="248" t="e">
        <f>'Income Statement'!BW19/AVERAGE('Balance Sheet'!BV17:BW17)</f>
        <v>#DIV/0!</v>
      </c>
      <c r="BX29" s="248" t="e">
        <f>'Income Statement'!BX19/AVERAGE('Balance Sheet'!BW17:BX17)</f>
        <v>#DIV/0!</v>
      </c>
      <c r="BY29" s="248">
        <f>'Income Statement'!BY19/AVERAGE('Balance Sheet'!BX17:BY17)</f>
        <v>8.8668682196708579E-3</v>
      </c>
      <c r="BZ29" s="248">
        <f>'Income Statement'!BZ19/AVERAGE('Balance Sheet'!BY17:BZ17)</f>
        <v>7.2416238472288704E-3</v>
      </c>
      <c r="CA29" s="248">
        <f>'Income Statement'!CA19/AVERAGE('Balance Sheet'!BZ17:CA17)</f>
        <v>3.317671064747832E-3</v>
      </c>
      <c r="CB29" s="248">
        <f>'Income Statement'!CB19/AVERAGE('Balance Sheet'!CA17:CB17)</f>
        <v>2.2159872479165761E-3</v>
      </c>
      <c r="CC29" s="248">
        <f>'Income Statement'!CC19/AVERAGE('Balance Sheet'!CB17:CC17)</f>
        <v>1.2455576306047021E-3</v>
      </c>
      <c r="CD29" s="248">
        <f>'Income Statement'!CD19/AVERAGE('Balance Sheet'!CC17:CD17)</f>
        <v>6.3215558014337652E-3</v>
      </c>
      <c r="CE29" s="248">
        <f>'Income Statement'!CE19/AVERAGE('Balance Sheet'!CD17:CE17)</f>
        <v>4.1229710573621728E-3</v>
      </c>
      <c r="CF29" s="248">
        <f>'Income Statement'!CF19/AVERAGE('Balance Sheet'!CE17:CF17)</f>
        <v>1.8887151297119669E-3</v>
      </c>
      <c r="CG29" s="248">
        <f>'Income Statement'!CG19/AVERAGE('Balance Sheet'!CF17:CG17)</f>
        <v>3.8520642948150436E-3</v>
      </c>
      <c r="CH29" s="248">
        <f>'Income Statement'!CH19/AVERAGE('Balance Sheet'!CG17:CH17)</f>
        <v>1.084353117474053E-3</v>
      </c>
      <c r="CI29" s="248">
        <f>'Income Statement'!CI19/AVERAGE('Balance Sheet'!CH17:CI17)</f>
        <v>2.0637258146955655E-3</v>
      </c>
      <c r="CJ29" s="248">
        <f>'Income Statement'!CJ19/AVERAGE('Balance Sheet'!CI17:CJ17)</f>
        <v>2.4930081208748367E-3</v>
      </c>
      <c r="CK29" s="248">
        <f>'Income Statement'!CK19/AVERAGE('Balance Sheet'!CJ17:CK17)</f>
        <v>4.3678729832995252E-3</v>
      </c>
      <c r="CL29" s="248">
        <f>'Income Statement'!CL19/AVERAGE('Balance Sheet'!CK17:CL17)</f>
        <v>2.0715490331449978E-3</v>
      </c>
      <c r="CM29" s="248">
        <f>'Income Statement'!CM19/AVERAGE('Balance Sheet'!CL17:CM17)</f>
        <v>4.2448858033122617E-3</v>
      </c>
      <c r="CN29" s="248">
        <f>'Income Statement'!CN19/AVERAGE('Balance Sheet'!CM17:CN17)</f>
        <v>4.6751110926150667E-3</v>
      </c>
      <c r="CO29" s="248">
        <f>'Income Statement'!CO19/AVERAGE('Balance Sheet'!CN17:CO17)</f>
        <v>2.9539835972734723E-3</v>
      </c>
      <c r="CP29" s="248">
        <f>'Income Statement'!CP19/AVERAGE('Balance Sheet'!CO17:CP17)</f>
        <v>-1.6453468341651829E-3</v>
      </c>
      <c r="CQ29" s="248">
        <f>'Income Statement'!CQ19/AVERAGE('Balance Sheet'!CP17:CQ17)</f>
        <v>1.4041123766480028E-3</v>
      </c>
      <c r="CR29" s="248">
        <f>'Income Statement'!CR19/AVERAGE('Balance Sheet'!CQ17:CR17)</f>
        <v>1.4955217065184569E-3</v>
      </c>
      <c r="CS29" s="248">
        <f>'Income Statement'!CS19/AVERAGE('Balance Sheet'!CR17:CS17)</f>
        <v>2.1802191235208782E-3</v>
      </c>
      <c r="CT29" s="248">
        <f>'Income Statement'!CT19/AVERAGE('Balance Sheet'!CS17:CT17)</f>
        <v>2.8478361447781763E-3</v>
      </c>
      <c r="CU29" s="248">
        <f>'Income Statement'!CU19/AVERAGE('Balance Sheet'!CT17:CU17)</f>
        <v>3.8091402636586994E-3</v>
      </c>
      <c r="CV29" s="248">
        <f>'Income Statement'!CV19/AVERAGE('Balance Sheet'!CU17:CV17)</f>
        <v>1.6300190689328389E-3</v>
      </c>
      <c r="CW29" s="248">
        <f>'Income Statement'!CW19/AVERAGE('Balance Sheet'!CV17:CW17)</f>
        <v>1.2554562985328374E-3</v>
      </c>
      <c r="CX29" s="248">
        <f>'Income Statement'!CX19/AVERAGE('Balance Sheet'!CW17:CX17)</f>
        <v>9.7861536941314846E-4</v>
      </c>
      <c r="CY29" s="248">
        <f>'Income Statement'!CY19/AVERAGE('Balance Sheet'!CX17:CY17)</f>
        <v>-2.3835073729090929E-3</v>
      </c>
      <c r="CZ29" s="248">
        <f>'Income Statement'!CZ19/AVERAGE('Balance Sheet'!CY17:CZ17)</f>
        <v>-7.3097677075275702E-4</v>
      </c>
      <c r="DA29" s="247">
        <v>2E-3</v>
      </c>
      <c r="DB29" s="247">
        <v>3.0000000000000001E-3</v>
      </c>
      <c r="DC29" s="247">
        <v>3.0000000000000001E-3</v>
      </c>
      <c r="DD29" s="247">
        <v>3.0000000000000001E-3</v>
      </c>
      <c r="DE29" s="247">
        <v>3.0000000000000001E-3</v>
      </c>
      <c r="DF29" s="247">
        <v>3.0000000000000001E-3</v>
      </c>
      <c r="DG29" s="247">
        <v>3.0000000000000001E-3</v>
      </c>
      <c r="DH29" s="247">
        <v>3.0000000000000001E-3</v>
      </c>
      <c r="DI29" s="247">
        <v>3.0000000000000001E-3</v>
      </c>
      <c r="DJ29" s="247">
        <v>3.0000000000000001E-3</v>
      </c>
      <c r="DK29" s="247">
        <v>3.0000000000000001E-3</v>
      </c>
      <c r="DL29" s="247">
        <v>3.0000000000000001E-3</v>
      </c>
      <c r="DM29" s="247">
        <v>3.0000000000000001E-3</v>
      </c>
      <c r="DN29" s="247">
        <v>3.0000000000000001E-3</v>
      </c>
      <c r="DO29" s="247">
        <v>3.0000000000000001E-3</v>
      </c>
      <c r="DP29" s="247">
        <v>3.0000000000000001E-3</v>
      </c>
      <c r="DQ29" s="247">
        <v>3.0000000000000001E-3</v>
      </c>
      <c r="DR29" s="247">
        <v>3.0000000000000001E-3</v>
      </c>
      <c r="DS29" s="247">
        <v>3.0000000000000001E-3</v>
      </c>
      <c r="DT29" s="247">
        <v>3.0000000000000001E-3</v>
      </c>
      <c r="DU29" s="247">
        <v>3.0000000000000001E-3</v>
      </c>
      <c r="DV29" s="247">
        <v>3.0000000000000001E-3</v>
      </c>
      <c r="DW29" s="247">
        <v>3.0000000000000001E-3</v>
      </c>
      <c r="DX29" s="247">
        <v>3.0000000000000001E-3</v>
      </c>
    </row>
    <row r="30" spans="1:128">
      <c r="A30" s="250" t="s">
        <v>253</v>
      </c>
      <c r="B30" s="248"/>
      <c r="C30" s="248"/>
      <c r="D30" s="248"/>
      <c r="E30" s="248"/>
      <c r="F30" s="248"/>
      <c r="G30" s="248"/>
      <c r="H30" s="248"/>
      <c r="I30" s="248"/>
      <c r="J30" s="248" t="e">
        <f>'Income Statement'!J20/AVERAGE('Balance Sheet'!I25:J25)</f>
        <v>#DIV/0!</v>
      </c>
      <c r="K30" s="248" t="e">
        <f>'Income Statement'!K20/AVERAGE('Balance Sheet'!J25:K25)</f>
        <v>#DIV/0!</v>
      </c>
      <c r="L30" s="248" t="e">
        <f>'Income Statement'!L20/AVERAGE('Balance Sheet'!K25:L25)</f>
        <v>#DIV/0!</v>
      </c>
      <c r="M30" s="248" t="e">
        <f>'Income Statement'!M20/AVERAGE('Balance Sheet'!L25:M25)</f>
        <v>#DIV/0!</v>
      </c>
      <c r="N30" s="248">
        <f>'Income Statement'!N20/AVERAGE('Balance Sheet'!M25:N25)</f>
        <v>0.61395600211699486</v>
      </c>
      <c r="O30" s="248">
        <f>'Income Statement'!O20/AVERAGE('Balance Sheet'!N25:O25)</f>
        <v>0.25188377324438288</v>
      </c>
      <c r="P30" s="248">
        <f>'Income Statement'!P20/AVERAGE('Balance Sheet'!O25:P25)</f>
        <v>0.16703087182576584</v>
      </c>
      <c r="Q30" s="251">
        <f>'Income Statement'!Q20/AVERAGE('Balance Sheet'!P25:Q25)</f>
        <v>0.23260660395585381</v>
      </c>
      <c r="R30" s="251">
        <f>'Income Statement'!R20/AVERAGE('Balance Sheet'!Q25:R25)</f>
        <v>0.3175083007344473</v>
      </c>
      <c r="S30" s="251">
        <f>'Income Statement'!S20/AVERAGE('Balance Sheet'!R25:S25)</f>
        <v>0.46539055456279543</v>
      </c>
      <c r="T30" s="248">
        <f>'Income Statement'!T20/AVERAGE('Balance Sheet'!S25:T25)</f>
        <v>0.72578096800478964</v>
      </c>
      <c r="U30" s="247">
        <f>'Income Statement'!U20/AVERAGE('Balance Sheet'!T25:U25)</f>
        <v>1.0278305971070614</v>
      </c>
      <c r="V30" s="247">
        <f>'Income Statement'!V20/AVERAGE('Balance Sheet'!U25:V25)</f>
        <v>2.4469199419792953</v>
      </c>
      <c r="W30" s="247">
        <f>'Income Statement'!W20/AVERAGE('Balance Sheet'!V25:W25)</f>
        <v>2.2560452343147208</v>
      </c>
      <c r="X30" s="247">
        <f>'Income Statement'!X20/AVERAGE('Balance Sheet'!W25:X25)</f>
        <v>2.0807995457385666</v>
      </c>
      <c r="Y30" s="247">
        <f>'Income Statement'!Y20/AVERAGE('Balance Sheet'!X25:Y25)</f>
        <v>1.9191666388998569</v>
      </c>
      <c r="Z30" s="247">
        <f>'Income Statement'!Z20/AVERAGE('Balance Sheet'!Y25:Z25)</f>
        <v>1.7700890964770206</v>
      </c>
      <c r="AA30" s="213"/>
      <c r="AB30" s="250" t="str">
        <f>A30</f>
        <v>Other, % growth</v>
      </c>
      <c r="AC30" s="249"/>
      <c r="AD30" s="248" t="e">
        <f>'Income Statement'!AD20/AVERAGE('Balance Sheet'!AC25:AD25)</f>
        <v>#DIV/0!</v>
      </c>
      <c r="AE30" s="248" t="e">
        <f>'Income Statement'!AE20/AVERAGE('Balance Sheet'!AD25:AE25)</f>
        <v>#DIV/0!</v>
      </c>
      <c r="AF30" s="248" t="e">
        <f>'Income Statement'!AF20/AVERAGE('Balance Sheet'!AE25:AF25)</f>
        <v>#DIV/0!</v>
      </c>
      <c r="AG30" s="248" t="e">
        <f>'Income Statement'!AG20/AVERAGE('Balance Sheet'!AF25:AG25)</f>
        <v>#DIV/0!</v>
      </c>
      <c r="AH30" s="248" t="e">
        <f>'Income Statement'!AH20/AVERAGE('Balance Sheet'!AG25:AH25)</f>
        <v>#DIV/0!</v>
      </c>
      <c r="AI30" s="248" t="e">
        <f>'Income Statement'!AI20/AVERAGE('Balance Sheet'!AH25:AI25)</f>
        <v>#DIV/0!</v>
      </c>
      <c r="AJ30" s="248" t="e">
        <f>'Income Statement'!AJ20/AVERAGE('Balance Sheet'!AI25:AJ25)</f>
        <v>#DIV/0!</v>
      </c>
      <c r="AK30" s="248" t="e">
        <f>'Income Statement'!AK20/AVERAGE('Balance Sheet'!AJ25:AK25)</f>
        <v>#DIV/0!</v>
      </c>
      <c r="AL30" s="248" t="e">
        <f>'Income Statement'!AL20/AVERAGE('Balance Sheet'!AK25:AL25)</f>
        <v>#DIV/0!</v>
      </c>
      <c r="AM30" s="248" t="e">
        <f>'Income Statement'!AM20/AVERAGE('Balance Sheet'!AL25:AM25)</f>
        <v>#DIV/0!</v>
      </c>
      <c r="AN30" s="248" t="e">
        <f>'Income Statement'!AN20/AVERAGE('Balance Sheet'!AM25:AN25)</f>
        <v>#DIV/0!</v>
      </c>
      <c r="AO30" s="248" t="e">
        <f>'Income Statement'!AO20/AVERAGE('Balance Sheet'!AN25:AO25)</f>
        <v>#DIV/0!</v>
      </c>
      <c r="AP30" s="248" t="e">
        <f>'Income Statement'!AP20/AVERAGE('Balance Sheet'!AO25:AP25)</f>
        <v>#DIV/0!</v>
      </c>
      <c r="AQ30" s="248" t="e">
        <f>'Income Statement'!AQ20/AVERAGE('Balance Sheet'!AP25:AQ25)</f>
        <v>#DIV/0!</v>
      </c>
      <c r="AR30" s="248" t="e">
        <f>'Income Statement'!AR20/AVERAGE('Balance Sheet'!AQ25:AR25)</f>
        <v>#DIV/0!</v>
      </c>
      <c r="AS30" s="248" t="e">
        <f>'Income Statement'!AS20/AVERAGE('Balance Sheet'!AR25:AS25)</f>
        <v>#DIV/0!</v>
      </c>
      <c r="AT30" s="248" t="e">
        <f>'Income Statement'!AT20/AVERAGE('Balance Sheet'!AS25:AT25)</f>
        <v>#DIV/0!</v>
      </c>
      <c r="AU30" s="248" t="e">
        <f>'Income Statement'!AU20/AVERAGE('Balance Sheet'!AT25:AU25)</f>
        <v>#DIV/0!</v>
      </c>
      <c r="AV30" s="248" t="e">
        <f>'Income Statement'!AV20/AVERAGE('Balance Sheet'!AU25:AV25)</f>
        <v>#DIV/0!</v>
      </c>
      <c r="AW30" s="248" t="e">
        <f>'Income Statement'!AW20/AVERAGE('Balance Sheet'!AV25:AW25)</f>
        <v>#DIV/0!</v>
      </c>
      <c r="AX30" s="248" t="e">
        <f>'Income Statement'!AX20/AVERAGE('Balance Sheet'!AW25:AX25)</f>
        <v>#DIV/0!</v>
      </c>
      <c r="AY30" s="248" t="e">
        <f>'Income Statement'!AY20/AVERAGE('Balance Sheet'!AX25:AY25)</f>
        <v>#DIV/0!</v>
      </c>
      <c r="AZ30" s="248" t="e">
        <f>'Income Statement'!AZ20/AVERAGE('Balance Sheet'!AY25:AZ25)</f>
        <v>#DIV/0!</v>
      </c>
      <c r="BA30" s="248" t="e">
        <f>'Income Statement'!BA20/AVERAGE('Balance Sheet'!AZ25:BA25)</f>
        <v>#DIV/0!</v>
      </c>
      <c r="BB30" s="248" t="e">
        <f>'Income Statement'!BB20/AVERAGE('Balance Sheet'!BA25:BB25)</f>
        <v>#DIV/0!</v>
      </c>
      <c r="BC30" s="248" t="e">
        <f>'Income Statement'!BC20/AVERAGE('Balance Sheet'!BB25:BC25)</f>
        <v>#DIV/0!</v>
      </c>
      <c r="BD30" s="248" t="e">
        <f>'Income Statement'!BD20/AVERAGE('Balance Sheet'!BC25:BD25)</f>
        <v>#DIV/0!</v>
      </c>
      <c r="BE30" s="248" t="e">
        <f>'Income Statement'!BE20/AVERAGE('Balance Sheet'!BD25:BE25)</f>
        <v>#DIV/0!</v>
      </c>
      <c r="BF30" s="248" t="e">
        <f>'Income Statement'!BF20/AVERAGE('Balance Sheet'!BE25:BF25)</f>
        <v>#DIV/0!</v>
      </c>
      <c r="BG30" s="248" t="e">
        <f>'Income Statement'!BG20/AVERAGE('Balance Sheet'!BF25:BG25)</f>
        <v>#DIV/0!</v>
      </c>
      <c r="BH30" s="248" t="e">
        <f>'Income Statement'!BH20/AVERAGE('Balance Sheet'!BG25:BH25)</f>
        <v>#DIV/0!</v>
      </c>
      <c r="BI30" s="248" t="e">
        <f>'Income Statement'!BI20/AVERAGE('Balance Sheet'!BH25:BI25)</f>
        <v>#DIV/0!</v>
      </c>
      <c r="BJ30" s="248" t="e">
        <f>'Income Statement'!BJ20/AVERAGE('Balance Sheet'!BI25:BJ25)</f>
        <v>#DIV/0!</v>
      </c>
      <c r="BK30" s="248" t="e">
        <f>'Income Statement'!BK20/AVERAGE('Balance Sheet'!BJ25:BK25)</f>
        <v>#DIV/0!</v>
      </c>
      <c r="BL30" s="248" t="e">
        <f>'Income Statement'!BL20/AVERAGE('Balance Sheet'!BK25:BL25)</f>
        <v>#DIV/0!</v>
      </c>
      <c r="BM30" s="248" t="e">
        <f>'Income Statement'!BM20/'Income Statement'!BL20-1</f>
        <v>#DIV/0!</v>
      </c>
      <c r="BN30" s="248" t="e">
        <f>'Income Statement'!BN20/'Income Statement'!BM20-1</f>
        <v>#DIV/0!</v>
      </c>
      <c r="BO30" s="248" t="e">
        <f>'Income Statement'!BO20/'Income Statement'!BN20-1</f>
        <v>#DIV/0!</v>
      </c>
      <c r="BP30" s="248" t="e">
        <f>'Income Statement'!BP20/'Income Statement'!BO20-1</f>
        <v>#DIV/0!</v>
      </c>
      <c r="BQ30" s="248" t="e">
        <f>'Income Statement'!BQ20/'Income Statement'!BP20-1</f>
        <v>#DIV/0!</v>
      </c>
      <c r="BR30" s="248" t="e">
        <f>'Income Statement'!BR20/'Income Statement'!BQ20-1</f>
        <v>#DIV/0!</v>
      </c>
      <c r="BS30" s="248" t="e">
        <f>'Income Statement'!BS20/'Income Statement'!BR20-1</f>
        <v>#DIV/0!</v>
      </c>
      <c r="BT30" s="248" t="e">
        <f>'Income Statement'!BT20/'Income Statement'!BS20-1</f>
        <v>#DIV/0!</v>
      </c>
      <c r="BU30" s="248" t="e">
        <f>'Income Statement'!BU20/'Income Statement'!BT20-1</f>
        <v>#DIV/0!</v>
      </c>
      <c r="BV30" s="248" t="e">
        <f>'Income Statement'!BV20/'Income Statement'!BU20-1</f>
        <v>#DIV/0!</v>
      </c>
      <c r="BW30" s="248" t="e">
        <f>'Income Statement'!BW20/'Income Statement'!BV20-1</f>
        <v>#DIV/0!</v>
      </c>
      <c r="BX30" s="248" t="e">
        <f>'Income Statement'!BX20/'Income Statement'!BW20-1</f>
        <v>#DIV/0!</v>
      </c>
      <c r="BY30" s="248" t="e">
        <f>'Income Statement'!BY20/'Income Statement'!BX20-1</f>
        <v>#DIV/0!</v>
      </c>
      <c r="BZ30" s="248">
        <f>'Income Statement'!BZ20/'Income Statement'!BY20-1</f>
        <v>2.7190657906487781E-2</v>
      </c>
      <c r="CA30" s="248">
        <f>'Income Statement'!CA20/'Income Statement'!BZ20-1</f>
        <v>-0.47022238213424605</v>
      </c>
      <c r="CB30" s="248">
        <f>'Income Statement'!CB20/'Income Statement'!CA20-1</f>
        <v>1.2914549045947794</v>
      </c>
      <c r="CC30" s="248">
        <f>'Income Statement'!CC20/'Income Statement'!CB20-1</f>
        <v>-0.28937479329863036</v>
      </c>
      <c r="CD30" s="248">
        <f>'Income Statement'!CD20/'Income Statement'!CC20-1</f>
        <v>-0.33233474266314056</v>
      </c>
      <c r="CE30" s="248">
        <f>'Income Statement'!CE20/'Income Statement'!CD20-1</f>
        <v>-0.24603006895708168</v>
      </c>
      <c r="CF30" s="248">
        <f>'Income Statement'!CF20/'Income Statement'!CE20-1</f>
        <v>2.1887440222734464</v>
      </c>
      <c r="CG30" s="248">
        <f>'Income Statement'!CG20/'Income Statement'!CF20-1</f>
        <v>-0.33192339648668545</v>
      </c>
      <c r="CH30" s="248">
        <f>'Income Statement'!CH20/'Income Statement'!CG20-1</f>
        <v>-0.66478834659742669</v>
      </c>
      <c r="CI30" s="248">
        <f>'Income Statement'!CI20/'Income Statement'!CH20-1</f>
        <v>-0.44191427031945796</v>
      </c>
      <c r="CJ30" s="248">
        <f>'Income Statement'!CJ20/'Income Statement'!CI20-1</f>
        <v>3.5083649715298568</v>
      </c>
      <c r="CK30" s="248">
        <f>'Income Statement'!CK20/'Income Statement'!CJ20-1</f>
        <v>-0.1677010415137753</v>
      </c>
      <c r="CL30" s="248">
        <f>'Income Statement'!CL20/'Income Statement'!CK20-1</f>
        <v>1.2438257315932817</v>
      </c>
      <c r="CM30" s="248">
        <f>'Income Statement'!CM20/'Income Statement'!CL20-1</f>
        <v>-0.9270941694422018</v>
      </c>
      <c r="CN30" s="248">
        <f>'Income Statement'!CN20/'Income Statement'!CM20-1</f>
        <v>6.0862998679100411</v>
      </c>
      <c r="CO30" s="248">
        <f>'Income Statement'!CO20/'Income Statement'!CN20-1</f>
        <v>1.0616198063775246</v>
      </c>
      <c r="CP30" s="248">
        <f>'Income Statement'!CP20/'Income Statement'!CO20-1</f>
        <v>-0.44364640300221236</v>
      </c>
      <c r="CQ30" s="248">
        <f>'Income Statement'!CQ20/'Income Statement'!CP20-1</f>
        <v>0.18865949767972245</v>
      </c>
      <c r="CR30" s="248">
        <f>'Income Statement'!CR20/'Income Statement'!CQ20-1</f>
        <v>0.40091698324633374</v>
      </c>
      <c r="CS30" s="248">
        <f>'Income Statement'!CS20/'Income Statement'!CR20-1</f>
        <v>-5.9054151038861691E-2</v>
      </c>
      <c r="CT30" s="248">
        <f>'Income Statement'!CT20/'Income Statement'!CS20-1</f>
        <v>1.0182520499672458</v>
      </c>
      <c r="CU30" s="248">
        <f>'Income Statement'!CU20/'Income Statement'!CT20-1</f>
        <v>-0.37731963378326949</v>
      </c>
      <c r="CV30" s="248">
        <f>'Income Statement'!CV20/'Income Statement'!CU20-1</f>
        <v>-2.3079411870438937E-2</v>
      </c>
      <c r="CW30" s="248">
        <f>'Income Statement'!CW20/'Income Statement'!CV20-1</f>
        <v>2.467709291628335</v>
      </c>
      <c r="CX30" s="248">
        <f>'Income Statement'!CX20/'Income Statement'!CW20-1</f>
        <v>-0.8010452591924444</v>
      </c>
      <c r="CY30" s="248">
        <f>'Income Statement'!CY20/'Income Statement'!CX20-1</f>
        <v>3.4322745819665545E-2</v>
      </c>
      <c r="CZ30" s="248">
        <f>'Income Statement'!CZ20/'Income Statement'!CY20-1</f>
        <v>0.83170895214521456</v>
      </c>
      <c r="DA30" s="247">
        <f>2*DA14</f>
        <v>1.8248715543331961E-2</v>
      </c>
      <c r="DB30" s="247">
        <f t="shared" ref="DB30:DX30" si="11">2*DB14</f>
        <v>1.6787450884096611E-2</v>
      </c>
      <c r="DC30" s="247">
        <f t="shared" si="11"/>
        <v>1.5811506997639224E-2</v>
      </c>
      <c r="DD30" s="247">
        <f t="shared" si="11"/>
        <v>1.5323003022116755E-2</v>
      </c>
      <c r="DE30" s="247">
        <f t="shared" si="11"/>
        <v>1.5323003022116755E-2</v>
      </c>
      <c r="DF30" s="247">
        <f t="shared" si="11"/>
        <v>1.4344927993476198E-2</v>
      </c>
      <c r="DG30" s="247">
        <f t="shared" si="11"/>
        <v>1.4344927993476198E-2</v>
      </c>
      <c r="DH30" s="247">
        <f t="shared" si="11"/>
        <v>1.4834143555465751E-2</v>
      </c>
      <c r="DI30" s="247">
        <f t="shared" si="11"/>
        <v>1.4834143555465751E-2</v>
      </c>
      <c r="DJ30" s="247">
        <f t="shared" si="11"/>
        <v>1.4834143555465751E-2</v>
      </c>
      <c r="DK30" s="247">
        <f t="shared" si="11"/>
        <v>1.4834143555465751E-2</v>
      </c>
      <c r="DL30" s="247">
        <f t="shared" si="11"/>
        <v>1.4834143555465751E-2</v>
      </c>
      <c r="DM30" s="247">
        <f t="shared" si="11"/>
        <v>1.4834143555465751E-2</v>
      </c>
      <c r="DN30" s="247">
        <f t="shared" si="11"/>
        <v>1.4834143555465751E-2</v>
      </c>
      <c r="DO30" s="247">
        <f t="shared" si="11"/>
        <v>1.4834143555465751E-2</v>
      </c>
      <c r="DP30" s="247">
        <f t="shared" si="11"/>
        <v>1.4834143555465751E-2</v>
      </c>
      <c r="DQ30" s="247">
        <f t="shared" si="11"/>
        <v>1.4834143555465751E-2</v>
      </c>
      <c r="DR30" s="247">
        <f t="shared" si="11"/>
        <v>1.4834143555465751E-2</v>
      </c>
      <c r="DS30" s="247">
        <f t="shared" si="11"/>
        <v>1.4834143555465751E-2</v>
      </c>
      <c r="DT30" s="247">
        <f t="shared" si="11"/>
        <v>1.4834143555465751E-2</v>
      </c>
      <c r="DU30" s="247">
        <f t="shared" si="11"/>
        <v>1.4834143555465751E-2</v>
      </c>
      <c r="DV30" s="247">
        <f t="shared" si="11"/>
        <v>1.4834143555465751E-2</v>
      </c>
      <c r="DW30" s="247">
        <f t="shared" si="11"/>
        <v>1.4834143555465751E-2</v>
      </c>
      <c r="DX30" s="247">
        <f t="shared" si="11"/>
        <v>1.4834143555465751E-2</v>
      </c>
    </row>
    <row r="31" spans="1:128">
      <c r="A31" s="250"/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51"/>
      <c r="R31" s="251"/>
      <c r="S31" s="251"/>
      <c r="T31" s="248"/>
      <c r="U31" s="247"/>
      <c r="V31" s="247"/>
      <c r="W31" s="247"/>
      <c r="X31" s="247"/>
      <c r="Y31" s="247"/>
      <c r="Z31" s="247"/>
      <c r="AA31" s="213"/>
      <c r="AB31" s="250"/>
      <c r="AC31" s="249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7"/>
      <c r="CM31" s="247"/>
      <c r="CN31" s="247"/>
      <c r="CO31" s="247"/>
      <c r="CP31" s="247"/>
      <c r="CQ31" s="247"/>
      <c r="CR31" s="247"/>
      <c r="CS31" s="247"/>
      <c r="CT31" s="247"/>
      <c r="CU31" s="247"/>
      <c r="CV31" s="247"/>
      <c r="CW31" s="247"/>
      <c r="CX31" s="247"/>
      <c r="CY31" s="247"/>
      <c r="CZ31" s="247"/>
      <c r="DA31" s="247"/>
      <c r="DB31" s="247"/>
      <c r="DC31" s="247"/>
      <c r="DD31" s="247"/>
      <c r="DE31" s="247"/>
      <c r="DF31" s="247"/>
      <c r="DG31" s="247"/>
      <c r="DH31" s="247"/>
      <c r="DI31" s="247"/>
      <c r="DJ31" s="247"/>
      <c r="DK31" s="247"/>
      <c r="DL31" s="247"/>
      <c r="DM31" s="247"/>
      <c r="DN31" s="247"/>
      <c r="DO31" s="247"/>
      <c r="DP31" s="247"/>
      <c r="DQ31" s="247"/>
      <c r="DR31" s="247"/>
      <c r="DS31" s="247"/>
      <c r="DT31" s="247"/>
      <c r="DU31" s="247"/>
      <c r="DV31" s="247"/>
      <c r="DW31" s="247"/>
      <c r="DX31" s="247"/>
    </row>
    <row r="32" spans="1:128">
      <c r="A32" s="260" t="s">
        <v>252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51"/>
      <c r="R32" s="251"/>
      <c r="S32" s="251"/>
      <c r="T32" s="248"/>
      <c r="U32" s="247"/>
      <c r="V32" s="247"/>
      <c r="W32" s="247"/>
      <c r="X32" s="247"/>
      <c r="Y32" s="247"/>
      <c r="Z32" s="247"/>
      <c r="AA32" s="213"/>
      <c r="AB32" s="260" t="str">
        <f>A32</f>
        <v>Insurance operations</v>
      </c>
      <c r="AC32" s="249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65"/>
      <c r="BR32" s="265"/>
      <c r="BS32" s="265"/>
      <c r="BT32" s="265"/>
      <c r="BU32" s="265">
        <f>Summary!AN27</f>
        <v>0</v>
      </c>
      <c r="BV32" s="265">
        <f>Summary!AO27</f>
        <v>0</v>
      </c>
      <c r="BW32" s="265">
        <f>Summary!AP27</f>
        <v>0</v>
      </c>
      <c r="BX32" s="265">
        <f>Summary!AQ27</f>
        <v>0</v>
      </c>
      <c r="BY32" s="265">
        <f>Summary!AR27</f>
        <v>91.016210445119995</v>
      </c>
      <c r="BZ32" s="265">
        <f>Summary!AS27</f>
        <v>86.045609575099988</v>
      </c>
      <c r="CA32" s="265">
        <f>Summary!AT27</f>
        <v>105.87815588619979</v>
      </c>
      <c r="CB32" s="265">
        <f>Summary!AU27</f>
        <v>130.15378063144092</v>
      </c>
      <c r="CC32" s="265">
        <f>Summary!AV27</f>
        <v>92.499623057760033</v>
      </c>
      <c r="CD32" s="265">
        <f>Summary!AW27</f>
        <v>129.26159136487991</v>
      </c>
      <c r="CE32" s="265">
        <f>Summary!AX27</f>
        <v>124.00730736013018</v>
      </c>
      <c r="CF32" s="265">
        <f>Summary!AY27</f>
        <v>119.50948091475962</v>
      </c>
      <c r="CG32" s="265">
        <f>Summary!AZ27</f>
        <v>83.953108852340151</v>
      </c>
      <c r="CH32" s="265">
        <f>Summary!BA27</f>
        <v>88.854228783589733</v>
      </c>
      <c r="CI32" s="265">
        <f>Summary!BB27</f>
        <v>82.867210589020175</v>
      </c>
      <c r="CJ32" s="265">
        <f>Summary!BC27</f>
        <v>63.868396825049452</v>
      </c>
      <c r="CK32" s="265">
        <f>Summary!BD27</f>
        <v>21.175034318749983</v>
      </c>
      <c r="CL32" s="265">
        <f>Summary!BE27</f>
        <v>100.1706561571001</v>
      </c>
      <c r="CM32" s="265">
        <f>Summary!BF27</f>
        <v>122.01544195719032</v>
      </c>
      <c r="CN32" s="265">
        <f>Summary!BG27</f>
        <v>131.31704890478997</v>
      </c>
      <c r="CO32" s="265">
        <f>Summary!BH27</f>
        <v>92.303218847999901</v>
      </c>
      <c r="CP32" s="265">
        <f>Summary!BI27</f>
        <v>82.457866847160034</v>
      </c>
      <c r="CQ32" s="265">
        <f>Summary!BJ27</f>
        <v>106.30349056338012</v>
      </c>
      <c r="CR32" s="265">
        <f>Summary!BK27</f>
        <v>102.80641670716015</v>
      </c>
      <c r="CS32" s="265">
        <f>Summary!BL27</f>
        <v>97.102999999999994</v>
      </c>
      <c r="CT32" s="265">
        <f>Summary!BM27</f>
        <v>104.16500000000001</v>
      </c>
      <c r="CU32" s="265">
        <f>Summary!BN27</f>
        <v>117.63800000000001</v>
      </c>
      <c r="CV32" s="265">
        <f>Summary!BO27</f>
        <v>103.99299999999999</v>
      </c>
      <c r="CW32" s="265">
        <f>Summary!BP27</f>
        <v>96.251000000000005</v>
      </c>
      <c r="CX32" s="265">
        <f>Summary!BQ27</f>
        <v>120.348</v>
      </c>
      <c r="CY32" s="265">
        <f>Summary!BR27</f>
        <v>125.245</v>
      </c>
      <c r="CZ32" s="265">
        <f>Summary!BS27</f>
        <v>134.392</v>
      </c>
      <c r="DA32" s="264">
        <f>Summary!BT27</f>
        <v>136.88353872032098</v>
      </c>
      <c r="DB32" s="264">
        <f>Summary!BU27</f>
        <v>148.22577420316242</v>
      </c>
      <c r="DC32" s="264">
        <f>Summary!BV27</f>
        <v>151.38644386386127</v>
      </c>
      <c r="DD32" s="264">
        <f>Summary!BW27</f>
        <v>157.68535614197427</v>
      </c>
      <c r="DE32" s="264">
        <f>Summary!BX27</f>
        <v>164.68758305643885</v>
      </c>
      <c r="DF32" s="264">
        <f>Summary!BY27</f>
        <v>178.10887473131524</v>
      </c>
      <c r="DG32" s="264">
        <f>Summary!BZ27</f>
        <v>181.85435238412995</v>
      </c>
      <c r="DH32" s="264">
        <f>Summary!CA27</f>
        <v>189.27796355288064</v>
      </c>
      <c r="DI32" s="264">
        <f>Summary!CB27</f>
        <v>197.53992656823416</v>
      </c>
      <c r="DJ32" s="264">
        <f>Summary!CC27</f>
        <v>213.36832668022984</v>
      </c>
      <c r="DK32" s="264">
        <f>Summary!CD27</f>
        <v>217.77170422618676</v>
      </c>
      <c r="DL32" s="264">
        <f>Summary!CE27</f>
        <v>226.51767117819526</v>
      </c>
      <c r="DM32" s="264">
        <f>Summary!CF27</f>
        <v>236.25550016628833</v>
      </c>
      <c r="DN32" s="264">
        <f>Summary!CG27</f>
        <v>254.92228849323135</v>
      </c>
      <c r="DO32" s="264">
        <f>Summary!CH27</f>
        <v>260.11279568568426</v>
      </c>
      <c r="DP32" s="264">
        <f>Summary!CI27</f>
        <v>270.41746776516703</v>
      </c>
      <c r="DQ32" s="264">
        <f>Summary!CJ27</f>
        <v>281.8771813198548</v>
      </c>
      <c r="DR32" s="264">
        <f>Summary!CK27</f>
        <v>303.86082055556517</v>
      </c>
      <c r="DS32" s="264">
        <f>Summary!CL27</f>
        <v>309.95228260941622</v>
      </c>
      <c r="DT32" s="264">
        <f>Summary!CM27</f>
        <v>322.08402362147444</v>
      </c>
      <c r="DU32" s="264">
        <f>Summary!CN27</f>
        <v>335.58835446163982</v>
      </c>
      <c r="DV32" s="264">
        <f>Summary!CO27</f>
        <v>361.49001051607087</v>
      </c>
      <c r="DW32" s="264">
        <f>Summary!CP27</f>
        <v>368.66290566768595</v>
      </c>
      <c r="DX32" s="264">
        <f>Summary!CQ27</f>
        <v>382.95011111597051</v>
      </c>
    </row>
    <row r="33" spans="1:128">
      <c r="A33" s="255" t="s">
        <v>251</v>
      </c>
      <c r="B33" s="254"/>
      <c r="C33" s="254"/>
      <c r="D33" s="254"/>
      <c r="E33" s="254"/>
      <c r="F33" s="254"/>
      <c r="G33" s="254"/>
      <c r="H33" s="254"/>
      <c r="I33" s="254"/>
      <c r="J33" s="254" t="e">
        <f>'Income Statement'!J23/'Income Statement'!I23-1</f>
        <v>#DIV/0!</v>
      </c>
      <c r="K33" s="254" t="e">
        <f>'Income Statement'!K23/'Income Statement'!J23-1</f>
        <v>#DIV/0!</v>
      </c>
      <c r="L33" s="254" t="e">
        <f>'Income Statement'!L23/'Income Statement'!K23-1</f>
        <v>#DIV/0!</v>
      </c>
      <c r="M33" s="254" t="e">
        <f>'Income Statement'!M23/'Income Statement'!L23-1</f>
        <v>#DIV/0!</v>
      </c>
      <c r="N33" s="254" t="e">
        <f>'Income Statement'!N23/'Income Statement'!M23-1</f>
        <v>#DIV/0!</v>
      </c>
      <c r="O33" s="254">
        <f>'Income Statement'!O23/'Income Statement'!N23-1</f>
        <v>6.4861137496012411E-2</v>
      </c>
      <c r="P33" s="254">
        <f>'Income Statement'!P23/'Income Statement'!O23-1</f>
        <v>0.14137631022099573</v>
      </c>
      <c r="Q33" s="256">
        <f>'Income Statement'!Q23/'Income Statement'!P23-1</f>
        <v>0.19676472904433884</v>
      </c>
      <c r="R33" s="256">
        <f>'Income Statement'!R23/'Income Statement'!Q23-1</f>
        <v>0.15279489310711591</v>
      </c>
      <c r="S33" s="256">
        <f>'Income Statement'!S23/'Income Statement'!R23-1</f>
        <v>2.4193831883603689E-2</v>
      </c>
      <c r="T33" s="254">
        <f>'Income Statement'!T23/'Income Statement'!S23-1</f>
        <v>-0.22290150988922608</v>
      </c>
      <c r="U33" s="253">
        <f>'Income Statement'!U23/'Income Statement'!T23-1</f>
        <v>0.10403360996143429</v>
      </c>
      <c r="V33" s="253">
        <f>'Income Statement'!V23/'Income Statement'!U23-1</f>
        <v>0.15000000000000013</v>
      </c>
      <c r="W33" s="253">
        <f>'Income Statement'!W23/'Income Statement'!V23-1</f>
        <v>0.14999999999999969</v>
      </c>
      <c r="X33" s="253">
        <f>'Income Statement'!X23/'Income Statement'!W23-1</f>
        <v>0.14999999999999991</v>
      </c>
      <c r="Y33" s="253">
        <f>'Income Statement'!Y23/'Income Statement'!X23-1</f>
        <v>0.15000000000000013</v>
      </c>
      <c r="Z33" s="253">
        <f>'Income Statement'!Z23/'Income Statement'!Y23-1</f>
        <v>0.14999999999999969</v>
      </c>
      <c r="AA33" s="213"/>
      <c r="AB33" s="255" t="str">
        <f>A33</f>
        <v>Net premiums earned, % yoy growth</v>
      </c>
      <c r="AC33" s="263">
        <v>0</v>
      </c>
      <c r="AD33" s="254">
        <f>'Income Statement'!AD23/'Income Statement'!S23-1</f>
        <v>-1</v>
      </c>
      <c r="AE33" s="254">
        <f>'Income Statement'!AE23/'Income Statement'!V23-1</f>
        <v>-1</v>
      </c>
      <c r="AF33" s="254" t="e">
        <f>'Income Statement'!AF23/'Income Statement'!AB23-1</f>
        <v>#VALUE!</v>
      </c>
      <c r="AG33" s="254" t="e">
        <f>'Income Statement'!AG23/'Income Statement'!AC23-1</f>
        <v>#DIV/0!</v>
      </c>
      <c r="AH33" s="254" t="e">
        <f>'Income Statement'!AH23/'Income Statement'!AD23-1</f>
        <v>#DIV/0!</v>
      </c>
      <c r="AI33" s="254" t="e">
        <f>'Income Statement'!AI23/'Income Statement'!AE23-1</f>
        <v>#DIV/0!</v>
      </c>
      <c r="AJ33" s="254" t="e">
        <f>'Income Statement'!AJ23/'Income Statement'!AF23-1</f>
        <v>#DIV/0!</v>
      </c>
      <c r="AK33" s="254" t="e">
        <f>'Income Statement'!AK23/'Income Statement'!AG23-1</f>
        <v>#DIV/0!</v>
      </c>
      <c r="AL33" s="254" t="e">
        <f>'Income Statement'!AL23/'Income Statement'!AH23-1</f>
        <v>#DIV/0!</v>
      </c>
      <c r="AM33" s="254" t="e">
        <f>'Income Statement'!AM23/'Income Statement'!AI23-1</f>
        <v>#DIV/0!</v>
      </c>
      <c r="AN33" s="254" t="e">
        <f>'Income Statement'!AN23/'Income Statement'!AJ23-1</f>
        <v>#DIV/0!</v>
      </c>
      <c r="AO33" s="254" t="e">
        <f>'Income Statement'!AO23/'Income Statement'!AK23-1</f>
        <v>#DIV/0!</v>
      </c>
      <c r="AP33" s="254" t="e">
        <f>'Income Statement'!AP23/'Income Statement'!AL23-1</f>
        <v>#DIV/0!</v>
      </c>
      <c r="AQ33" s="254" t="e">
        <f>'Income Statement'!AQ23/'Income Statement'!AM23-1</f>
        <v>#DIV/0!</v>
      </c>
      <c r="AR33" s="254" t="e">
        <f>'Income Statement'!AR23/'Income Statement'!AN23-1</f>
        <v>#DIV/0!</v>
      </c>
      <c r="AS33" s="254" t="e">
        <f>'Income Statement'!AS23/'Income Statement'!AO23-1</f>
        <v>#DIV/0!</v>
      </c>
      <c r="AT33" s="254" t="e">
        <f>'Income Statement'!AT23/'Income Statement'!AP23-1</f>
        <v>#DIV/0!</v>
      </c>
      <c r="AU33" s="254" t="e">
        <f>'Income Statement'!AU23/'Income Statement'!AQ23-1</f>
        <v>#DIV/0!</v>
      </c>
      <c r="AV33" s="254" t="e">
        <f>'Income Statement'!AV23/'Income Statement'!AR23-1</f>
        <v>#DIV/0!</v>
      </c>
      <c r="AW33" s="254" t="e">
        <f>'Income Statement'!AW23/'Income Statement'!AS23-1</f>
        <v>#DIV/0!</v>
      </c>
      <c r="AX33" s="254" t="e">
        <f>'Income Statement'!AX23/'Income Statement'!AT23-1</f>
        <v>#DIV/0!</v>
      </c>
      <c r="AY33" s="254" t="e">
        <f>'Income Statement'!AY23/'Income Statement'!AU23-1</f>
        <v>#DIV/0!</v>
      </c>
      <c r="AZ33" s="254" t="e">
        <f>'Income Statement'!AZ23/'Income Statement'!AV23-1</f>
        <v>#DIV/0!</v>
      </c>
      <c r="BA33" s="254" t="e">
        <f>'Income Statement'!BA23/'Income Statement'!AW23-1</f>
        <v>#DIV/0!</v>
      </c>
      <c r="BB33" s="254" t="e">
        <f>'Income Statement'!BB23/'Income Statement'!AX23-1</f>
        <v>#DIV/0!</v>
      </c>
      <c r="BC33" s="254" t="e">
        <f>'Income Statement'!BC23/'Income Statement'!AY23-1</f>
        <v>#DIV/0!</v>
      </c>
      <c r="BD33" s="254" t="e">
        <f>'Income Statement'!BD23/'Income Statement'!AZ23-1</f>
        <v>#DIV/0!</v>
      </c>
      <c r="BE33" s="254" t="e">
        <f>'Income Statement'!BE23/'Income Statement'!BA23-1</f>
        <v>#DIV/0!</v>
      </c>
      <c r="BF33" s="254" t="e">
        <f>'Income Statement'!BF23/'Income Statement'!BB23-1</f>
        <v>#DIV/0!</v>
      </c>
      <c r="BG33" s="254" t="e">
        <f>'Income Statement'!BG23/'Income Statement'!BC23-1</f>
        <v>#DIV/0!</v>
      </c>
      <c r="BH33" s="254" t="e">
        <f>'Income Statement'!BH23/'Income Statement'!BD23-1</f>
        <v>#DIV/0!</v>
      </c>
      <c r="BI33" s="254" t="e">
        <f>'Income Statement'!BI23/'Income Statement'!BE23-1</f>
        <v>#DIV/0!</v>
      </c>
      <c r="BJ33" s="254" t="e">
        <f>'Income Statement'!BJ23/'Income Statement'!BF23-1</f>
        <v>#DIV/0!</v>
      </c>
      <c r="BK33" s="254" t="e">
        <f>'Income Statement'!BK23/'Income Statement'!BG23-1</f>
        <v>#DIV/0!</v>
      </c>
      <c r="BL33" s="254" t="e">
        <f>'Income Statement'!BL23/'Income Statement'!BH23-1</f>
        <v>#DIV/0!</v>
      </c>
      <c r="BM33" s="254" t="e">
        <f>'Income Statement'!BM23/'Income Statement'!BI23-1</f>
        <v>#DIV/0!</v>
      </c>
      <c r="BN33" s="254" t="e">
        <f>'Income Statement'!BN23/'Income Statement'!BJ23-1</f>
        <v>#DIV/0!</v>
      </c>
      <c r="BO33" s="254" t="e">
        <f>'Income Statement'!BO23/'Income Statement'!BK23-1</f>
        <v>#DIV/0!</v>
      </c>
      <c r="BP33" s="254" t="e">
        <f>'Income Statement'!BP23/'Income Statement'!BL23-1</f>
        <v>#DIV/0!</v>
      </c>
      <c r="BQ33" s="254" t="e">
        <f>'Income Statement'!BQ23/'Income Statement'!BM23-1</f>
        <v>#DIV/0!</v>
      </c>
      <c r="BR33" s="254" t="e">
        <f>'Income Statement'!BR23/'Income Statement'!BN23-1</f>
        <v>#DIV/0!</v>
      </c>
      <c r="BS33" s="254" t="e">
        <f>'Income Statement'!BS23/'Income Statement'!BO23-1</f>
        <v>#DIV/0!</v>
      </c>
      <c r="BT33" s="254" t="e">
        <f>'Income Statement'!BT23/'Income Statement'!BP23-1</f>
        <v>#DIV/0!</v>
      </c>
      <c r="BU33" s="254" t="e">
        <f>'Income Statement'!BU23/'Income Statement'!BQ23-1</f>
        <v>#DIV/0!</v>
      </c>
      <c r="BV33" s="254" t="e">
        <f>'Income Statement'!BV23/'Income Statement'!BR23-1</f>
        <v>#DIV/0!</v>
      </c>
      <c r="BW33" s="254" t="e">
        <f>'Income Statement'!BW23/'Income Statement'!BS23-1</f>
        <v>#DIV/0!</v>
      </c>
      <c r="BX33" s="254" t="e">
        <f>'Income Statement'!BX23/'Income Statement'!BT23-1</f>
        <v>#DIV/0!</v>
      </c>
      <c r="BY33" s="254" t="e">
        <f>'Income Statement'!BY23/'Income Statement'!BU23-1</f>
        <v>#DIV/0!</v>
      </c>
      <c r="BZ33" s="254" t="e">
        <f>'Income Statement'!BZ23/'Income Statement'!BV23-1</f>
        <v>#DIV/0!</v>
      </c>
      <c r="CA33" s="254" t="e">
        <f>'Income Statement'!CA23/'Income Statement'!BW23-1</f>
        <v>#DIV/0!</v>
      </c>
      <c r="CB33" s="254" t="e">
        <f>'Income Statement'!CB23/'Income Statement'!BX23-1</f>
        <v>#DIV/0!</v>
      </c>
      <c r="CC33" s="254">
        <f>'Income Statement'!CC23/'Income Statement'!BY23-1</f>
        <v>-1.1835715545879255E-3</v>
      </c>
      <c r="CD33" s="254">
        <f>'Income Statement'!CD23/'Income Statement'!BZ23-1</f>
        <v>0.13325965065314227</v>
      </c>
      <c r="CE33" s="254">
        <f>'Income Statement'!CE23/'Income Statement'!CA23-1</f>
        <v>5.6416423726159515E-2</v>
      </c>
      <c r="CF33" s="254">
        <f>'Income Statement'!CF23/'Income Statement'!CB23-1</f>
        <v>7.3204002945561175E-2</v>
      </c>
      <c r="CG33" s="254">
        <f>'Income Statement'!CG23/'Income Statement'!CC23-1</f>
        <v>0.1709182245680394</v>
      </c>
      <c r="CH33" s="254">
        <f>'Income Statement'!CH23/'Income Statement'!CD23-1</f>
        <v>0.13043164985235411</v>
      </c>
      <c r="CI33" s="254">
        <f>'Income Statement'!CI23/'Income Statement'!CE23-1</f>
        <v>0.23175006385486285</v>
      </c>
      <c r="CJ33" s="254">
        <f>'Income Statement'!CJ23/'Income Statement'!CF23-1</f>
        <v>4.0218126638327911E-2</v>
      </c>
      <c r="CK33" s="254">
        <f>'Income Statement'!CK23/'Income Statement'!CG23-1</f>
        <v>0.14653282713568783</v>
      </c>
      <c r="CL33" s="254">
        <f>'Income Statement'!CL23/'Income Statement'!CH23-1</f>
        <v>0.17832245443041828</v>
      </c>
      <c r="CM33" s="254">
        <f>'Income Statement'!CM23/'Income Statement'!CI23-1</f>
        <v>0.14721057645636737</v>
      </c>
      <c r="CN33" s="254">
        <f>'Income Statement'!CN23/'Income Statement'!CJ23-1</f>
        <v>0.32175718939534659</v>
      </c>
      <c r="CO33" s="254">
        <f>'Income Statement'!CO23/'Income Statement'!CK23-1</f>
        <v>0.1826241020429944</v>
      </c>
      <c r="CP33" s="254">
        <f>'Income Statement'!CP23/'Income Statement'!CL23-1</f>
        <v>0.17447115964645099</v>
      </c>
      <c r="CQ33" s="254">
        <f>'Income Statement'!CQ23/'Income Statement'!CM23-1</f>
        <v>0.19164562446360711</v>
      </c>
      <c r="CR33" s="254">
        <f>'Income Statement'!CR23/'Income Statement'!CN23-1</f>
        <v>6.8903165208900941E-2</v>
      </c>
      <c r="CS33" s="254">
        <f>'Income Statement'!CS23/'Income Statement'!CO23-1</f>
        <v>3.2850384878120975E-2</v>
      </c>
      <c r="CT33" s="254">
        <f>'Income Statement'!CT23/'Income Statement'!CP23-1</f>
        <v>8.6962021116880894E-3</v>
      </c>
      <c r="CU33" s="254">
        <f>'Income Statement'!CU23/'Income Statement'!CQ23-1</f>
        <v>-2.5309289107280142E-2</v>
      </c>
      <c r="CV33" s="254">
        <f>'Income Statement'!CV23/'Income Statement'!CR23-1</f>
        <v>8.5572079894842279E-2</v>
      </c>
      <c r="CW33" s="254">
        <f>'Income Statement'!CW23/'Income Statement'!CS23-1</f>
        <v>-0.21986970055815069</v>
      </c>
      <c r="CX33" s="254">
        <f>'Income Statement'!CX23/'Income Statement'!CT23-1</f>
        <v>-0.21604608513192747</v>
      </c>
      <c r="CY33" s="254">
        <f>'Income Statement'!CY23/'Income Statement'!CU23-1</f>
        <v>-0.22044635780675836</v>
      </c>
      <c r="CZ33" s="254">
        <f>'Income Statement'!CZ23/'Income Statement'!CV23-1</f>
        <v>-0.23460518626798932</v>
      </c>
      <c r="DA33" s="253">
        <v>0.09</v>
      </c>
      <c r="DB33" s="253">
        <v>0.1</v>
      </c>
      <c r="DC33" s="253">
        <v>0.1</v>
      </c>
      <c r="DD33" s="253">
        <v>0.125</v>
      </c>
      <c r="DE33" s="253">
        <v>0.15</v>
      </c>
      <c r="DF33" s="253">
        <v>0.15</v>
      </c>
      <c r="DG33" s="253">
        <v>0.15</v>
      </c>
      <c r="DH33" s="253">
        <v>0.15</v>
      </c>
      <c r="DI33" s="253">
        <v>0.15</v>
      </c>
      <c r="DJ33" s="253">
        <v>0.15</v>
      </c>
      <c r="DK33" s="253">
        <v>0.15</v>
      </c>
      <c r="DL33" s="253">
        <v>0.15</v>
      </c>
      <c r="DM33" s="253">
        <v>0.15</v>
      </c>
      <c r="DN33" s="253">
        <v>0.15</v>
      </c>
      <c r="DO33" s="253">
        <v>0.15</v>
      </c>
      <c r="DP33" s="253">
        <v>0.15</v>
      </c>
      <c r="DQ33" s="253">
        <v>0.15</v>
      </c>
      <c r="DR33" s="253">
        <v>0.15</v>
      </c>
      <c r="DS33" s="253">
        <v>0.15</v>
      </c>
      <c r="DT33" s="253">
        <v>0.15</v>
      </c>
      <c r="DU33" s="253">
        <v>0.15</v>
      </c>
      <c r="DV33" s="253">
        <v>0.15</v>
      </c>
      <c r="DW33" s="253">
        <v>0.15</v>
      </c>
      <c r="DX33" s="253">
        <v>0.15</v>
      </c>
    </row>
    <row r="34" spans="1:128">
      <c r="A34" s="252" t="s">
        <v>250</v>
      </c>
      <c r="B34" s="248"/>
      <c r="C34" s="248"/>
      <c r="D34" s="248"/>
      <c r="E34" s="248"/>
      <c r="F34" s="248"/>
      <c r="G34" s="248"/>
      <c r="H34" s="248"/>
      <c r="I34" s="248"/>
      <c r="J34" s="248" t="e">
        <f>-'Income Statement'!J24/'Income Statement'!J23</f>
        <v>#DIV/0!</v>
      </c>
      <c r="K34" s="248" t="e">
        <f>-'Income Statement'!K24/'Income Statement'!K23</f>
        <v>#DIV/0!</v>
      </c>
      <c r="L34" s="248" t="e">
        <f>-'Income Statement'!L24/'Income Statement'!L23</f>
        <v>#DIV/0!</v>
      </c>
      <c r="M34" s="248" t="e">
        <f>-'Income Statement'!M24/'Income Statement'!M23</f>
        <v>#DIV/0!</v>
      </c>
      <c r="N34" s="248">
        <f>-'Income Statement'!N24/'Income Statement'!N23</f>
        <v>0.67579590828736724</v>
      </c>
      <c r="O34" s="248">
        <f>-'Income Statement'!O24/'Income Statement'!O23</f>
        <v>0.65708269375249706</v>
      </c>
      <c r="P34" s="248">
        <f>-'Income Statement'!P24/'Income Statement'!P23</f>
        <v>0.65763170610484578</v>
      </c>
      <c r="Q34" s="251">
        <f>-'Income Statement'!Q24/'Income Statement'!Q23</f>
        <v>0.65846413549425398</v>
      </c>
      <c r="R34" s="251">
        <f>-'Income Statement'!R24/'Income Statement'!R23</f>
        <v>0.6859556629153033</v>
      </c>
      <c r="S34" s="251">
        <f>-'Income Statement'!S24/'Income Statement'!S23</f>
        <v>0.65200023763389758</v>
      </c>
      <c r="T34" s="248">
        <f>-'Income Statement'!T24/'Income Statement'!T23</f>
        <v>0.60668764900222172</v>
      </c>
      <c r="U34" s="247">
        <f>-'Income Statement'!U24/'Income Statement'!U23</f>
        <v>0.63183730989677345</v>
      </c>
      <c r="V34" s="247">
        <f>-'Income Statement'!V24/'Income Statement'!V23</f>
        <v>0.62183730989677355</v>
      </c>
      <c r="W34" s="247">
        <f>-'Income Statement'!W24/'Income Statement'!W23</f>
        <v>0.61183730989677387</v>
      </c>
      <c r="X34" s="247">
        <f>-'Income Statement'!X24/'Income Statement'!X23</f>
        <v>0.60183730989677409</v>
      </c>
      <c r="Y34" s="247">
        <f>-'Income Statement'!Y24/'Income Statement'!Y23</f>
        <v>0.59183730989677419</v>
      </c>
      <c r="Z34" s="247">
        <f>-'Income Statement'!Z24/'Income Statement'!Z23</f>
        <v>0.58183730989677451</v>
      </c>
      <c r="AA34" s="213"/>
      <c r="AB34" s="252" t="str">
        <f>A34</f>
        <v>Net claims incurred, % of net premiums earned</v>
      </c>
      <c r="AC34" s="249" t="e">
        <f>-'Income Statement'!AC34/'Income Statement'!AC32</f>
        <v>#DIV/0!</v>
      </c>
      <c r="AD34" s="254" t="e">
        <f>-'Income Statement'!AD24/'Income Statement'!AD23</f>
        <v>#DIV/0!</v>
      </c>
      <c r="AE34" s="254" t="e">
        <f>-'Income Statement'!AE24/'Income Statement'!AE23</f>
        <v>#DIV/0!</v>
      </c>
      <c r="AF34" s="254" t="e">
        <f>-'Income Statement'!AF24/'Income Statement'!AF23</f>
        <v>#DIV/0!</v>
      </c>
      <c r="AG34" s="254" t="e">
        <f>-'Income Statement'!AG24/'Income Statement'!AG23</f>
        <v>#DIV/0!</v>
      </c>
      <c r="AH34" s="254" t="e">
        <f>-'Income Statement'!AH24/'Income Statement'!AH23</f>
        <v>#DIV/0!</v>
      </c>
      <c r="AI34" s="254" t="e">
        <f>-'Income Statement'!AI24/'Income Statement'!AI23</f>
        <v>#DIV/0!</v>
      </c>
      <c r="AJ34" s="254" t="e">
        <f>-'Income Statement'!AJ24/'Income Statement'!AJ23</f>
        <v>#DIV/0!</v>
      </c>
      <c r="AK34" s="254" t="e">
        <f>-'Income Statement'!AK24/'Income Statement'!AK23</f>
        <v>#DIV/0!</v>
      </c>
      <c r="AL34" s="254" t="e">
        <f>-'Income Statement'!AL24/'Income Statement'!AL23</f>
        <v>#DIV/0!</v>
      </c>
      <c r="AM34" s="254" t="e">
        <f>-'Income Statement'!AM24/'Income Statement'!AM23</f>
        <v>#DIV/0!</v>
      </c>
      <c r="AN34" s="254" t="e">
        <f>-'Income Statement'!AN24/'Income Statement'!AN23</f>
        <v>#DIV/0!</v>
      </c>
      <c r="AO34" s="254" t="e">
        <f>-'Income Statement'!AO24/'Income Statement'!AO23</f>
        <v>#DIV/0!</v>
      </c>
      <c r="AP34" s="254" t="e">
        <f>-'Income Statement'!AP24/'Income Statement'!AP23</f>
        <v>#DIV/0!</v>
      </c>
      <c r="AQ34" s="254" t="e">
        <f>-'Income Statement'!AQ24/'Income Statement'!AQ23</f>
        <v>#DIV/0!</v>
      </c>
      <c r="AR34" s="254" t="e">
        <f>-'Income Statement'!AR24/'Income Statement'!AR23</f>
        <v>#DIV/0!</v>
      </c>
      <c r="AS34" s="254" t="e">
        <f>-'Income Statement'!AS24/'Income Statement'!AS23</f>
        <v>#DIV/0!</v>
      </c>
      <c r="AT34" s="254" t="e">
        <f>-'Income Statement'!AT24/'Income Statement'!AT23</f>
        <v>#DIV/0!</v>
      </c>
      <c r="AU34" s="254" t="e">
        <f>-'Income Statement'!AU24/'Income Statement'!AU23</f>
        <v>#DIV/0!</v>
      </c>
      <c r="AV34" s="254" t="e">
        <f>-'Income Statement'!AV24/'Income Statement'!AV23</f>
        <v>#DIV/0!</v>
      </c>
      <c r="AW34" s="254" t="e">
        <f>-'Income Statement'!AW24/'Income Statement'!AW23</f>
        <v>#DIV/0!</v>
      </c>
      <c r="AX34" s="254" t="e">
        <f>-'Income Statement'!AX24/'Income Statement'!AX23</f>
        <v>#DIV/0!</v>
      </c>
      <c r="AY34" s="254" t="e">
        <f>-'Income Statement'!AY24/'Income Statement'!AY23</f>
        <v>#DIV/0!</v>
      </c>
      <c r="AZ34" s="254" t="e">
        <f>-'Income Statement'!AZ24/'Income Statement'!AZ23</f>
        <v>#DIV/0!</v>
      </c>
      <c r="BA34" s="254" t="e">
        <f>-'Income Statement'!BA24/'Income Statement'!BA23</f>
        <v>#DIV/0!</v>
      </c>
      <c r="BB34" s="254" t="e">
        <f>-'Income Statement'!BB24/'Income Statement'!BB23</f>
        <v>#DIV/0!</v>
      </c>
      <c r="BC34" s="254" t="e">
        <f>-'Income Statement'!BC24/'Income Statement'!BC23</f>
        <v>#DIV/0!</v>
      </c>
      <c r="BD34" s="254" t="e">
        <f>-'Income Statement'!BD24/'Income Statement'!BD23</f>
        <v>#DIV/0!</v>
      </c>
      <c r="BE34" s="254" t="e">
        <f>-'Income Statement'!BE24/'Income Statement'!BE23</f>
        <v>#DIV/0!</v>
      </c>
      <c r="BF34" s="254" t="e">
        <f>-'Income Statement'!BF24/'Income Statement'!BF23</f>
        <v>#DIV/0!</v>
      </c>
      <c r="BG34" s="254" t="e">
        <f>-'Income Statement'!BG24/'Income Statement'!BG23</f>
        <v>#DIV/0!</v>
      </c>
      <c r="BH34" s="254" t="e">
        <f>-'Income Statement'!BH24/'Income Statement'!BH23</f>
        <v>#DIV/0!</v>
      </c>
      <c r="BI34" s="254" t="e">
        <f>-'Income Statement'!BI24/'Income Statement'!BI23</f>
        <v>#DIV/0!</v>
      </c>
      <c r="BJ34" s="254" t="e">
        <f>-'Income Statement'!BJ24/'Income Statement'!BJ23</f>
        <v>#DIV/0!</v>
      </c>
      <c r="BK34" s="254" t="e">
        <f>-'Income Statement'!BK24/'Income Statement'!BK23</f>
        <v>#DIV/0!</v>
      </c>
      <c r="BL34" s="254" t="e">
        <f>-'Income Statement'!BL24/'Income Statement'!BL23</f>
        <v>#DIV/0!</v>
      </c>
      <c r="BM34" s="254" t="e">
        <f>-'Income Statement'!BM24/'Income Statement'!BM23</f>
        <v>#DIV/0!</v>
      </c>
      <c r="BN34" s="254" t="e">
        <f>-'Income Statement'!BN24/'Income Statement'!BN23</f>
        <v>#DIV/0!</v>
      </c>
      <c r="BO34" s="254" t="e">
        <f>-'Income Statement'!BO24/'Income Statement'!BO23</f>
        <v>#DIV/0!</v>
      </c>
      <c r="BP34" s="254" t="e">
        <f>-'Income Statement'!BP24/'Income Statement'!BP23</f>
        <v>#DIV/0!</v>
      </c>
      <c r="BQ34" s="254" t="e">
        <f>-'Income Statement'!BQ24/'Income Statement'!BQ23</f>
        <v>#DIV/0!</v>
      </c>
      <c r="BR34" s="254" t="e">
        <f>-'Income Statement'!BR24/'Income Statement'!BR23</f>
        <v>#DIV/0!</v>
      </c>
      <c r="BS34" s="254" t="e">
        <f>-'Income Statement'!BS24/'Income Statement'!BS23</f>
        <v>#DIV/0!</v>
      </c>
      <c r="BT34" s="254" t="e">
        <f>-'Income Statement'!BT24/'Income Statement'!BT23</f>
        <v>#DIV/0!</v>
      </c>
      <c r="BU34" s="254" t="e">
        <f>-'Income Statement'!BU24/'Income Statement'!BU23</f>
        <v>#DIV/0!</v>
      </c>
      <c r="BV34" s="254" t="e">
        <f>-'Income Statement'!BV24/'Income Statement'!BV23</f>
        <v>#DIV/0!</v>
      </c>
      <c r="BW34" s="254" t="e">
        <f>-'Income Statement'!BW24/'Income Statement'!BW23</f>
        <v>#DIV/0!</v>
      </c>
      <c r="BX34" s="254" t="e">
        <f>-'Income Statement'!BX24/'Income Statement'!BX23</f>
        <v>#DIV/0!</v>
      </c>
      <c r="BY34" s="254">
        <f>-'Income Statement'!BY24/'Income Statement'!BY23</f>
        <v>0.71248894949151731</v>
      </c>
      <c r="BZ34" s="254">
        <f>-'Income Statement'!BZ24/'Income Statement'!BZ23</f>
        <v>0.71752029233127623</v>
      </c>
      <c r="CA34" s="254">
        <f>-'Income Statement'!CA24/'Income Statement'!CA23</f>
        <v>0.66932372919161343</v>
      </c>
      <c r="CB34" s="254">
        <f>-'Income Statement'!CB24/'Income Statement'!CB23</f>
        <v>0.60893325747317206</v>
      </c>
      <c r="CC34" s="254">
        <f>-'Income Statement'!CC24/'Income Statement'!CC23</f>
        <v>0.70745675244672912</v>
      </c>
      <c r="CD34" s="254">
        <f>-'Income Statement'!CD24/'Income Statement'!CD23</f>
        <v>0.62554588144713952</v>
      </c>
      <c r="CE34" s="254">
        <f>-'Income Statement'!CE24/'Income Statement'!CE23</f>
        <v>0.63338621067802092</v>
      </c>
      <c r="CF34" s="254">
        <f>-'Income Statement'!CF24/'Income Statement'!CF23</f>
        <v>0.66540906367979147</v>
      </c>
      <c r="CG34" s="254">
        <f>-'Income Statement'!CG24/'Income Statement'!CG23</f>
        <v>0.62310920413888649</v>
      </c>
      <c r="CH34" s="254">
        <f>-'Income Statement'!CH24/'Income Statement'!CH23</f>
        <v>0.6236066881486958</v>
      </c>
      <c r="CI34" s="254">
        <f>-'Income Statement'!CI24/'Income Statement'!CI23</f>
        <v>0.67569493222301269</v>
      </c>
      <c r="CJ34" s="254">
        <f>-'Income Statement'!CJ24/'Income Statement'!CJ23</f>
        <v>0.7075123647052558</v>
      </c>
      <c r="CK34" s="254">
        <f>-'Income Statement'!CK24/'Income Statement'!CK23</f>
        <v>0.79787516316786777</v>
      </c>
      <c r="CL34" s="254">
        <f>-'Income Statement'!CL24/'Income Statement'!CL23</f>
        <v>0.60425330680895517</v>
      </c>
      <c r="CM34" s="254">
        <f>-'Income Statement'!CM24/'Income Statement'!CM23</f>
        <v>0.6044296028761319</v>
      </c>
      <c r="CN34" s="254">
        <f>-'Income Statement'!CN24/'Income Statement'!CN23</f>
        <v>0.64131030213775508</v>
      </c>
      <c r="CO34" s="254">
        <f>-'Income Statement'!CO24/'Income Statement'!CO23</f>
        <v>0.67792478812319368</v>
      </c>
      <c r="CP34" s="254">
        <f>-'Income Statement'!CP24/'Income Statement'!CP23</f>
        <v>0.69777449633866384</v>
      </c>
      <c r="CQ34" s="254">
        <f>-'Income Statement'!CQ24/'Income Statement'!CQ23</f>
        <v>0.67883121736457142</v>
      </c>
      <c r="CR34" s="254">
        <f>-'Income Statement'!CR24/'Income Statement'!CR23</f>
        <v>0.68920729406543402</v>
      </c>
      <c r="CS34" s="254">
        <f>-'Income Statement'!CS24/'Income Statement'!CS23</f>
        <v>0.64962642093122824</v>
      </c>
      <c r="CT34" s="254">
        <f>-'Income Statement'!CT24/'Income Statement'!CT23</f>
        <v>0.65418527676963489</v>
      </c>
      <c r="CU34" s="254">
        <f>-'Income Statement'!CU24/'Income Statement'!CU23</f>
        <v>0.64574537070394122</v>
      </c>
      <c r="CV34" s="254">
        <f>-'Income Statement'!CV24/'Income Statement'!CV23</f>
        <v>0.65816502910409913</v>
      </c>
      <c r="CW34" s="254">
        <f>-'Income Statement'!CW24/'Income Statement'!CW23</f>
        <v>0.57423311973418778</v>
      </c>
      <c r="CX34" s="254">
        <f>-'Income Statement'!CX24/'Income Statement'!CX23</f>
        <v>0.59802268618690346</v>
      </c>
      <c r="CY34" s="254">
        <f>-'Income Statement'!CY24/'Income Statement'!CY23</f>
        <v>0.61382189903807272</v>
      </c>
      <c r="CZ34" s="254">
        <f>-'Income Statement'!CZ24/'Income Statement'!CZ23</f>
        <v>0.63819094325260628</v>
      </c>
      <c r="DA34" s="253">
        <f t="shared" ref="DA34:DP34" si="12">CZ34-0.25%</f>
        <v>0.63569094325260633</v>
      </c>
      <c r="DB34" s="253">
        <f t="shared" si="12"/>
        <v>0.63319094325260639</v>
      </c>
      <c r="DC34" s="253">
        <f t="shared" si="12"/>
        <v>0.63069094325260644</v>
      </c>
      <c r="DD34" s="253">
        <f t="shared" si="12"/>
        <v>0.62819094325260649</v>
      </c>
      <c r="DE34" s="253">
        <f t="shared" si="12"/>
        <v>0.62569094325260655</v>
      </c>
      <c r="DF34" s="253">
        <f t="shared" si="12"/>
        <v>0.6231909432526066</v>
      </c>
      <c r="DG34" s="253">
        <f t="shared" si="12"/>
        <v>0.62069094325260665</v>
      </c>
      <c r="DH34" s="253">
        <f t="shared" si="12"/>
        <v>0.61819094325260671</v>
      </c>
      <c r="DI34" s="253">
        <f t="shared" si="12"/>
        <v>0.61569094325260676</v>
      </c>
      <c r="DJ34" s="253">
        <f t="shared" si="12"/>
        <v>0.61319094325260681</v>
      </c>
      <c r="DK34" s="253">
        <f t="shared" si="12"/>
        <v>0.61069094325260687</v>
      </c>
      <c r="DL34" s="253">
        <f t="shared" si="12"/>
        <v>0.60819094325260692</v>
      </c>
      <c r="DM34" s="253">
        <f t="shared" si="12"/>
        <v>0.60569094325260697</v>
      </c>
      <c r="DN34" s="253">
        <f t="shared" si="12"/>
        <v>0.60319094325260703</v>
      </c>
      <c r="DO34" s="253">
        <f t="shared" si="12"/>
        <v>0.60069094325260708</v>
      </c>
      <c r="DP34" s="253">
        <f t="shared" si="12"/>
        <v>0.59819094325260713</v>
      </c>
      <c r="DQ34" s="253">
        <f t="shared" ref="DQ34" si="13">DP34-0.25%</f>
        <v>0.59569094325260719</v>
      </c>
      <c r="DR34" s="253">
        <f t="shared" ref="DR34" si="14">DQ34-0.25%</f>
        <v>0.59319094325260724</v>
      </c>
      <c r="DS34" s="253">
        <f t="shared" ref="DS34" si="15">DR34-0.25%</f>
        <v>0.59069094325260729</v>
      </c>
      <c r="DT34" s="253">
        <f t="shared" ref="DT34" si="16">DS34-0.25%</f>
        <v>0.58819094325260735</v>
      </c>
      <c r="DU34" s="253">
        <f t="shared" ref="DU34" si="17">DT34-0.25%</f>
        <v>0.5856909432526074</v>
      </c>
      <c r="DV34" s="253">
        <f t="shared" ref="DV34" si="18">DU34-0.25%</f>
        <v>0.58319094325260745</v>
      </c>
      <c r="DW34" s="253">
        <f t="shared" ref="DW34" si="19">DV34-0.25%</f>
        <v>0.58069094325260751</v>
      </c>
      <c r="DX34" s="253">
        <f t="shared" ref="DX34" si="20">DW34-0.25%</f>
        <v>0.57819094325260756</v>
      </c>
    </row>
    <row r="35" spans="1:128">
      <c r="A35" s="255" t="s">
        <v>249</v>
      </c>
      <c r="B35" s="248"/>
      <c r="C35" s="248"/>
      <c r="D35" s="248"/>
      <c r="E35" s="248"/>
      <c r="F35" s="248"/>
      <c r="G35" s="248"/>
      <c r="H35" s="248"/>
      <c r="I35" s="248"/>
      <c r="J35" s="248" t="e">
        <f>'Income Statement'!J25/'Income Statement'!I25-1</f>
        <v>#DIV/0!</v>
      </c>
      <c r="K35" s="248" t="e">
        <f>'Income Statement'!K25/'Income Statement'!J25-1</f>
        <v>#DIV/0!</v>
      </c>
      <c r="L35" s="248" t="e">
        <f>'Income Statement'!L25/'Income Statement'!K25-1</f>
        <v>#DIV/0!</v>
      </c>
      <c r="M35" s="248" t="e">
        <f>'Income Statement'!M25/'Income Statement'!L25-1</f>
        <v>#DIV/0!</v>
      </c>
      <c r="N35" s="248" t="e">
        <f>'Income Statement'!N25/'Income Statement'!M25-1</f>
        <v>#DIV/0!</v>
      </c>
      <c r="O35" s="248" t="e">
        <f>'Income Statement'!O25/'Income Statement'!N25-1</f>
        <v>#DIV/0!</v>
      </c>
      <c r="P35" s="248" t="e">
        <f>'Income Statement'!P25/'Income Statement'!O25-1</f>
        <v>#DIV/0!</v>
      </c>
      <c r="Q35" s="251">
        <f>'Income Statement'!Q25/'Income Statement'!P25-1</f>
        <v>0.22618003697824163</v>
      </c>
      <c r="R35" s="251">
        <f>'Income Statement'!R25/'Income Statement'!Q25-1</f>
        <v>0.1114461348859741</v>
      </c>
      <c r="S35" s="251">
        <f>'Income Statement'!S25/'Income Statement'!R25-1</f>
        <v>0.17940776026102823</v>
      </c>
      <c r="T35" s="248">
        <f>'Income Statement'!T25/'Income Statement'!S25-1</f>
        <v>-0.43125088598024852</v>
      </c>
      <c r="U35" s="247">
        <f>'Income Statement'!U25/'Income Statement'!T25-1</f>
        <v>-0.49631094474505022</v>
      </c>
      <c r="V35" s="247">
        <f>'Income Statement'!V25/'Income Statement'!U25-1</f>
        <v>5.6903232655691083E-2</v>
      </c>
      <c r="W35" s="247">
        <f>'Income Statement'!W25/'Income Statement'!V25-1</f>
        <v>5.8788808439998341E-2</v>
      </c>
      <c r="X35" s="247">
        <f>'Income Statement'!X25/'Income Statement'!W25-1</f>
        <v>6.0841004072069937E-2</v>
      </c>
      <c r="Y35" s="247">
        <f>'Income Statement'!Y25/'Income Statement'!X25-1</f>
        <v>6.338073765233454E-2</v>
      </c>
      <c r="Z35" s="247">
        <f>'Income Statement'!Z25/'Income Statement'!Y25-1</f>
        <v>6.4333333333333798E-2</v>
      </c>
      <c r="AA35" s="213"/>
      <c r="AB35" s="255" t="str">
        <f>A35</f>
        <v>Increase in cost for life and health policies, % growth</v>
      </c>
      <c r="AC35" s="249" t="e">
        <f>-'Income Statement'!#REF!/'Income Statement'!AC32</f>
        <v>#REF!</v>
      </c>
      <c r="AD35" s="254" t="e">
        <f>'Income Statement'!AD25/'Income Statement'!AC25-1</f>
        <v>#DIV/0!</v>
      </c>
      <c r="AE35" s="254" t="e">
        <f>'Income Statement'!AE25/'Income Statement'!AD25-1</f>
        <v>#DIV/0!</v>
      </c>
      <c r="AF35" s="254" t="e">
        <f>'Income Statement'!AF25/'Income Statement'!AE25-1</f>
        <v>#DIV/0!</v>
      </c>
      <c r="AG35" s="254" t="e">
        <f>'Income Statement'!AG25/'Income Statement'!AF25-1</f>
        <v>#DIV/0!</v>
      </c>
      <c r="AH35" s="254" t="e">
        <f>'Income Statement'!AH25/'Income Statement'!AG25-1</f>
        <v>#DIV/0!</v>
      </c>
      <c r="AI35" s="254" t="e">
        <f>'Income Statement'!AI25/'Income Statement'!AH25-1</f>
        <v>#DIV/0!</v>
      </c>
      <c r="AJ35" s="254" t="e">
        <f>'Income Statement'!AJ25/'Income Statement'!AI25-1</f>
        <v>#DIV/0!</v>
      </c>
      <c r="AK35" s="254" t="e">
        <f>'Income Statement'!AK25/'Income Statement'!AJ25-1</f>
        <v>#DIV/0!</v>
      </c>
      <c r="AL35" s="254" t="e">
        <f>'Income Statement'!AL25/'Income Statement'!AK25-1</f>
        <v>#DIV/0!</v>
      </c>
      <c r="AM35" s="254" t="e">
        <f>'Income Statement'!AM25/'Income Statement'!AL25-1</f>
        <v>#DIV/0!</v>
      </c>
      <c r="AN35" s="254" t="e">
        <f>'Income Statement'!AN25/'Income Statement'!AM25-1</f>
        <v>#DIV/0!</v>
      </c>
      <c r="AO35" s="254" t="e">
        <f>'Income Statement'!AO25/'Income Statement'!AN25-1</f>
        <v>#DIV/0!</v>
      </c>
      <c r="AP35" s="254" t="e">
        <f>'Income Statement'!AP25/'Income Statement'!AO25-1</f>
        <v>#DIV/0!</v>
      </c>
      <c r="AQ35" s="254" t="e">
        <f>'Income Statement'!AQ25/'Income Statement'!AP25-1</f>
        <v>#DIV/0!</v>
      </c>
      <c r="AR35" s="254" t="e">
        <f>'Income Statement'!AR25/'Income Statement'!AQ25-1</f>
        <v>#DIV/0!</v>
      </c>
      <c r="AS35" s="254" t="e">
        <f>'Income Statement'!AS25/'Income Statement'!AR25-1</f>
        <v>#DIV/0!</v>
      </c>
      <c r="AT35" s="254" t="e">
        <f>'Income Statement'!AT25/'Income Statement'!AS25-1</f>
        <v>#DIV/0!</v>
      </c>
      <c r="AU35" s="254" t="e">
        <f>'Income Statement'!AU25/'Income Statement'!AT25-1</f>
        <v>#DIV/0!</v>
      </c>
      <c r="AV35" s="254" t="e">
        <f>'Income Statement'!AV25/'Income Statement'!AU25-1</f>
        <v>#DIV/0!</v>
      </c>
      <c r="AW35" s="254" t="e">
        <f>'Income Statement'!AW25/'Income Statement'!AV25-1</f>
        <v>#DIV/0!</v>
      </c>
      <c r="AX35" s="254" t="e">
        <f>'Income Statement'!AX25/'Income Statement'!AW25-1</f>
        <v>#DIV/0!</v>
      </c>
      <c r="AY35" s="254" t="e">
        <f>'Income Statement'!AY25/'Income Statement'!AX25-1</f>
        <v>#DIV/0!</v>
      </c>
      <c r="AZ35" s="254" t="e">
        <f>'Income Statement'!AZ25/'Income Statement'!AY25-1</f>
        <v>#DIV/0!</v>
      </c>
      <c r="BA35" s="254" t="e">
        <f>'Income Statement'!BA25/'Income Statement'!AZ25-1</f>
        <v>#DIV/0!</v>
      </c>
      <c r="BB35" s="254" t="e">
        <f>'Income Statement'!BB25/'Income Statement'!BA25-1</f>
        <v>#DIV/0!</v>
      </c>
      <c r="BC35" s="254" t="e">
        <f>'Income Statement'!BC25/'Income Statement'!BB25-1</f>
        <v>#DIV/0!</v>
      </c>
      <c r="BD35" s="254" t="e">
        <f>'Income Statement'!BD25/'Income Statement'!BC25-1</f>
        <v>#DIV/0!</v>
      </c>
      <c r="BE35" s="254" t="e">
        <f>'Income Statement'!BE25/'Income Statement'!BD25-1</f>
        <v>#DIV/0!</v>
      </c>
      <c r="BF35" s="254" t="e">
        <f>'Income Statement'!BF25/'Income Statement'!BE25-1</f>
        <v>#DIV/0!</v>
      </c>
      <c r="BG35" s="254" t="e">
        <f>'Income Statement'!BG25/'Income Statement'!BF25-1</f>
        <v>#DIV/0!</v>
      </c>
      <c r="BH35" s="254" t="e">
        <f>'Income Statement'!BH25/'Income Statement'!BG25-1</f>
        <v>#DIV/0!</v>
      </c>
      <c r="BI35" s="254" t="e">
        <f>'Income Statement'!BI25/'Income Statement'!BH25-1</f>
        <v>#DIV/0!</v>
      </c>
      <c r="BJ35" s="254" t="e">
        <f>'Income Statement'!BJ25/'Income Statement'!BI25-1</f>
        <v>#DIV/0!</v>
      </c>
      <c r="BK35" s="254" t="e">
        <f>'Income Statement'!BK25/'Income Statement'!BJ25-1</f>
        <v>#DIV/0!</v>
      </c>
      <c r="BL35" s="254" t="e">
        <f>'Income Statement'!BL25/'Income Statement'!BK25-1</f>
        <v>#DIV/0!</v>
      </c>
      <c r="BM35" s="254" t="e">
        <f>'Income Statement'!BM25/'Income Statement'!BL25-1</f>
        <v>#DIV/0!</v>
      </c>
      <c r="BN35" s="254" t="e">
        <f>'Income Statement'!BN25/'Income Statement'!BM25-1</f>
        <v>#DIV/0!</v>
      </c>
      <c r="BO35" s="254" t="e">
        <f>'Income Statement'!BO25/'Income Statement'!BN25-1</f>
        <v>#DIV/0!</v>
      </c>
      <c r="BP35" s="254" t="e">
        <f>'Income Statement'!BP25/'Income Statement'!BO25-1</f>
        <v>#DIV/0!</v>
      </c>
      <c r="BQ35" s="254" t="e">
        <f>'Income Statement'!BQ25/'Income Statement'!BP25-1</f>
        <v>#DIV/0!</v>
      </c>
      <c r="BR35" s="254" t="e">
        <f>'Income Statement'!BR25/'Income Statement'!BQ25-1</f>
        <v>#DIV/0!</v>
      </c>
      <c r="BS35" s="254" t="e">
        <f>'Income Statement'!BS25/'Income Statement'!BR25-1</f>
        <v>#DIV/0!</v>
      </c>
      <c r="BT35" s="254" t="e">
        <f>'Income Statement'!BT25/'Income Statement'!BS25-1</f>
        <v>#DIV/0!</v>
      </c>
      <c r="BU35" s="254" t="e">
        <f>'Income Statement'!BU25/'Income Statement'!BT25-1</f>
        <v>#DIV/0!</v>
      </c>
      <c r="BV35" s="254" t="e">
        <f>'Income Statement'!BV25/'Income Statement'!BU25-1</f>
        <v>#DIV/0!</v>
      </c>
      <c r="BW35" s="254" t="e">
        <f>'Income Statement'!BW25/'Income Statement'!BV25-1</f>
        <v>#DIV/0!</v>
      </c>
      <c r="BX35" s="254" t="e">
        <f>'Income Statement'!BX25/'Income Statement'!BW25-1</f>
        <v>#DIV/0!</v>
      </c>
      <c r="BY35" s="254" t="e">
        <f>'Income Statement'!BY25/'Income Statement'!BX25-1</f>
        <v>#DIV/0!</v>
      </c>
      <c r="BZ35" s="254" t="e">
        <f>'Income Statement'!BZ25/'Income Statement'!BY25-1</f>
        <v>#DIV/0!</v>
      </c>
      <c r="CA35" s="254" t="e">
        <f>'Income Statement'!CA25/'Income Statement'!BZ25-1</f>
        <v>#DIV/0!</v>
      </c>
      <c r="CB35" s="254" t="e">
        <f>'Income Statement'!CB25/'Income Statement'!CA25-1</f>
        <v>#DIV/0!</v>
      </c>
      <c r="CC35" s="254" t="e">
        <f>'Income Statement'!CC25/'Income Statement'!CB25-1</f>
        <v>#DIV/0!</v>
      </c>
      <c r="CD35" s="254" t="e">
        <f>'Income Statement'!CD25/'Income Statement'!CC25-1</f>
        <v>#DIV/0!</v>
      </c>
      <c r="CE35" s="254" t="e">
        <f>'Income Statement'!CE25/'Income Statement'!CD25-1</f>
        <v>#DIV/0!</v>
      </c>
      <c r="CF35" s="254" t="e">
        <f>'Income Statement'!CF25/'Income Statement'!CE25-1</f>
        <v>#DIV/0!</v>
      </c>
      <c r="CG35" s="254" t="e">
        <f>'Income Statement'!CG25/'Income Statement'!CF25-1</f>
        <v>#DIV/0!</v>
      </c>
      <c r="CH35" s="254">
        <f>'Income Statement'!CH25/'Income Statement'!CG25-1</f>
        <v>4.3881847125991413E-2</v>
      </c>
      <c r="CI35" s="254">
        <f>'Income Statement'!CI25/'Income Statement'!CH25-1</f>
        <v>-9.9486599833111145E-2</v>
      </c>
      <c r="CJ35" s="254">
        <f>'Income Statement'!CJ25/'Income Statement'!CI25-1</f>
        <v>-0.14252414176513495</v>
      </c>
      <c r="CK35" s="254">
        <f>'Income Statement'!CK25/'Income Statement'!CJ25-1</f>
        <v>0.44236520123915235</v>
      </c>
      <c r="CL35" s="254">
        <f>'Income Statement'!CL25/'Income Statement'!CK25-1</f>
        <v>0.26575214546324655</v>
      </c>
      <c r="CM35" s="254">
        <f>'Income Statement'!CM25/'Income Statement'!CL25-1</f>
        <v>-0.18021370247641477</v>
      </c>
      <c r="CN35" s="254">
        <f>'Income Statement'!CN25/'Income Statement'!CM25-1</f>
        <v>-0.33141597763318131</v>
      </c>
      <c r="CO35" s="254">
        <f>'Income Statement'!CO25/'Income Statement'!CN25-1</f>
        <v>0.54753170515748883</v>
      </c>
      <c r="CP35" s="254">
        <f>'Income Statement'!CP25/'Income Statement'!CO25-1</f>
        <v>0.16393095831075999</v>
      </c>
      <c r="CQ35" s="254">
        <f>'Income Statement'!CQ25/'Income Statement'!CP25-1</f>
        <v>-5.1118087815063773E-2</v>
      </c>
      <c r="CR35" s="254">
        <f>'Income Statement'!CR25/'Income Statement'!CQ25-1</f>
        <v>-0.21256286010210002</v>
      </c>
      <c r="CS35" s="254">
        <f>'Income Statement'!CS25/'Income Statement'!CR25-1</f>
        <v>0.4015105062347526</v>
      </c>
      <c r="CT35" s="254">
        <f>'Income Statement'!CT25/'Income Statement'!CS25-1</f>
        <v>-4.1861290131851581E-3</v>
      </c>
      <c r="CU35" s="254">
        <f>'Income Statement'!CU25/'Income Statement'!CT25-1</f>
        <v>-6.1524028927337326E-2</v>
      </c>
      <c r="CV35" s="254">
        <f>'Income Statement'!CV25/'Income Statement'!CU25-1</f>
        <v>0.14895609262305443</v>
      </c>
      <c r="CW35" s="254">
        <f>'Income Statement'!CW25/'Income Statement'!CV25-1</f>
        <v>-0.16334441972643776</v>
      </c>
      <c r="CX35" s="254">
        <f>'Income Statement'!CX25/'Income Statement'!CW25-1</f>
        <v>-0.32454916414374091</v>
      </c>
      <c r="CY35" s="254">
        <f>'Income Statement'!CY25/'Income Statement'!CX25-1</f>
        <v>-0.18377051097166464</v>
      </c>
      <c r="CZ35" s="254">
        <f>'Income Statement'!CZ25/'Income Statement'!CY25-1</f>
        <v>-0.44095597364148598</v>
      </c>
      <c r="DA35" s="247">
        <f t="shared" ref="DA35:DP35" si="21">(1+DA$17)*(1+DA$14)*(1+DA11/1.5)^0.25-1</f>
        <v>1.3903803433747974E-2</v>
      </c>
      <c r="DB35" s="247">
        <f t="shared" si="21"/>
        <v>1.4390384522677602E-2</v>
      </c>
      <c r="DC35" s="247">
        <f t="shared" si="21"/>
        <v>1.4229395116306609E-2</v>
      </c>
      <c r="DD35" s="247">
        <f t="shared" si="21"/>
        <v>1.3488783233458035E-2</v>
      </c>
      <c r="DE35" s="247">
        <f t="shared" si="21"/>
        <v>1.3983610681657765E-2</v>
      </c>
      <c r="DF35" s="247">
        <f t="shared" si="21"/>
        <v>1.3820827960615789E-2</v>
      </c>
      <c r="DG35" s="247">
        <f t="shared" si="21"/>
        <v>1.3985369202413889E-2</v>
      </c>
      <c r="DH35" s="247">
        <f t="shared" si="21"/>
        <v>1.4231631605317041E-2</v>
      </c>
      <c r="DI35" s="247">
        <f t="shared" si="21"/>
        <v>1.4396132726873123E-2</v>
      </c>
      <c r="DJ35" s="247">
        <f t="shared" si="21"/>
        <v>1.4560553857602798E-2</v>
      </c>
      <c r="DK35" s="247">
        <f t="shared" si="21"/>
        <v>1.4724895088206402E-2</v>
      </c>
      <c r="DL35" s="247">
        <f t="shared" si="21"/>
        <v>1.4889156509221735E-2</v>
      </c>
      <c r="DM35" s="247">
        <f t="shared" si="21"/>
        <v>1.4889156509221735E-2</v>
      </c>
      <c r="DN35" s="247">
        <f t="shared" si="21"/>
        <v>1.4889156509221735E-2</v>
      </c>
      <c r="DO35" s="247">
        <f t="shared" si="21"/>
        <v>1.4889156509221735E-2</v>
      </c>
      <c r="DP35" s="247">
        <f t="shared" si="21"/>
        <v>1.5299461487518817E-2</v>
      </c>
      <c r="DQ35" s="247">
        <f t="shared" ref="DQ35:DT35" si="22">(1+DQ$17)*(1+DQ$14)*(1+DQ11/1.5)^0.25-1</f>
        <v>1.570926962806829E-2</v>
      </c>
      <c r="DR35" s="247">
        <f t="shared" si="22"/>
        <v>1.570926962806829E-2</v>
      </c>
      <c r="DS35" s="247">
        <f t="shared" si="22"/>
        <v>1.570926962806829E-2</v>
      </c>
      <c r="DT35" s="247">
        <f t="shared" si="22"/>
        <v>1.570926962806829E-2</v>
      </c>
      <c r="DU35" s="247">
        <f t="shared" ref="DU35:DX35" si="23">(1+DU$17)*(1+DU$14)*(1+DU11/1.5)^0.25-1</f>
        <v>1.570926962806829E-2</v>
      </c>
      <c r="DV35" s="247">
        <f t="shared" si="23"/>
        <v>1.570926962806829E-2</v>
      </c>
      <c r="DW35" s="247">
        <f t="shared" si="23"/>
        <v>1.570926962806829E-2</v>
      </c>
      <c r="DX35" s="247">
        <f t="shared" si="23"/>
        <v>1.570926962806829E-2</v>
      </c>
    </row>
    <row r="36" spans="1:128">
      <c r="A36" s="250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51"/>
      <c r="R36" s="251"/>
      <c r="S36" s="251"/>
      <c r="T36" s="248"/>
      <c r="U36" s="247"/>
      <c r="V36" s="247"/>
      <c r="W36" s="247"/>
      <c r="X36" s="247"/>
      <c r="Y36" s="247"/>
      <c r="Z36" s="247"/>
      <c r="AA36" s="213"/>
      <c r="AB36" s="250"/>
      <c r="AC36" s="249"/>
      <c r="AD36" s="248"/>
      <c r="AE36" s="248"/>
      <c r="AF36" s="248"/>
      <c r="AG36" s="248"/>
      <c r="AH36" s="248"/>
      <c r="AI36" s="248"/>
      <c r="AJ36" s="248"/>
      <c r="AK36" s="248"/>
      <c r="AL36" s="248"/>
      <c r="AM36" s="248"/>
      <c r="AN36" s="248"/>
      <c r="AO36" s="248"/>
      <c r="AP36" s="248"/>
      <c r="AQ36" s="248"/>
      <c r="AR36" s="248"/>
      <c r="AS36" s="248"/>
      <c r="AT36" s="248"/>
      <c r="AU36" s="248"/>
      <c r="AV36" s="248"/>
      <c r="AW36" s="248"/>
      <c r="AX36" s="248"/>
      <c r="AY36" s="248"/>
      <c r="AZ36" s="248"/>
      <c r="BA36" s="248"/>
      <c r="BB36" s="248"/>
      <c r="BC36" s="248"/>
      <c r="BD36" s="248"/>
      <c r="BE36" s="248"/>
      <c r="BF36" s="248"/>
      <c r="BG36" s="248"/>
      <c r="BH36" s="248"/>
      <c r="BI36" s="248"/>
      <c r="BJ36" s="248"/>
      <c r="BK36" s="248"/>
      <c r="BL36" s="248"/>
      <c r="BM36" s="248"/>
      <c r="BN36" s="248"/>
      <c r="BO36" s="248"/>
      <c r="BP36" s="248"/>
      <c r="BQ36" s="248"/>
      <c r="BR36" s="248"/>
      <c r="BS36" s="248"/>
      <c r="BT36" s="248"/>
      <c r="BU36" s="248"/>
      <c r="BV36" s="248"/>
      <c r="BW36" s="248"/>
      <c r="BX36" s="248"/>
      <c r="BY36" s="248"/>
      <c r="BZ36" s="248"/>
      <c r="CA36" s="248"/>
      <c r="CB36" s="248"/>
      <c r="CC36" s="248"/>
      <c r="CD36" s="248"/>
      <c r="CE36" s="248"/>
      <c r="CF36" s="248"/>
      <c r="CG36" s="248"/>
      <c r="CH36" s="248"/>
      <c r="CI36" s="248"/>
      <c r="CJ36" s="248"/>
      <c r="CK36" s="248"/>
      <c r="CL36" s="247"/>
      <c r="CM36" s="247"/>
      <c r="CN36" s="247"/>
      <c r="CO36" s="247"/>
      <c r="CP36" s="247"/>
      <c r="CQ36" s="247"/>
      <c r="CR36" s="247"/>
      <c r="CS36" s="247"/>
      <c r="CT36" s="247"/>
      <c r="CU36" s="247"/>
      <c r="CV36" s="247"/>
      <c r="CW36" s="247"/>
      <c r="CX36" s="247"/>
      <c r="CY36" s="247"/>
      <c r="CZ36" s="247"/>
      <c r="DA36" s="247"/>
      <c r="DB36" s="247"/>
      <c r="DC36" s="247"/>
      <c r="DD36" s="247"/>
      <c r="DE36" s="247"/>
      <c r="DF36" s="247"/>
      <c r="DG36" s="247"/>
      <c r="DH36" s="247"/>
      <c r="DI36" s="247"/>
      <c r="DJ36" s="247"/>
      <c r="DK36" s="247"/>
      <c r="DL36" s="247"/>
      <c r="DM36" s="247"/>
      <c r="DN36" s="247"/>
      <c r="DO36" s="247"/>
      <c r="DP36" s="247"/>
      <c r="DQ36" s="247"/>
      <c r="DR36" s="247"/>
      <c r="DS36" s="247"/>
      <c r="DT36" s="247"/>
      <c r="DU36" s="247"/>
      <c r="DV36" s="247"/>
      <c r="DW36" s="247"/>
      <c r="DX36" s="247"/>
    </row>
    <row r="37" spans="1:128">
      <c r="A37" s="260" t="s">
        <v>248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62"/>
      <c r="R37" s="262"/>
      <c r="S37" s="262"/>
      <c r="T37" s="609"/>
      <c r="U37" s="261"/>
      <c r="V37" s="261"/>
      <c r="W37" s="261"/>
      <c r="X37" s="261"/>
      <c r="Y37" s="261"/>
      <c r="Z37" s="261"/>
      <c r="AA37" s="213"/>
      <c r="AB37" s="260" t="str">
        <f>A37</f>
        <v>Operating income/(expenses)</v>
      </c>
      <c r="AC37" s="249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4"/>
      <c r="BH37" s="254"/>
      <c r="BI37" s="254"/>
      <c r="BJ37" s="254"/>
      <c r="BK37" s="254"/>
      <c r="BL37" s="254"/>
      <c r="BM37" s="254"/>
      <c r="BN37" s="248"/>
      <c r="BO37" s="248"/>
      <c r="BP37" s="248"/>
      <c r="BQ37" s="248"/>
      <c r="BR37" s="248"/>
      <c r="BS37" s="248"/>
      <c r="BT37" s="248"/>
      <c r="BU37" s="248"/>
      <c r="BV37" s="248"/>
      <c r="BW37" s="248"/>
      <c r="BX37" s="248"/>
      <c r="BY37" s="248"/>
      <c r="BZ37" s="248"/>
      <c r="CA37" s="248"/>
      <c r="CB37" s="248"/>
      <c r="CC37" s="248"/>
      <c r="CD37" s="248"/>
      <c r="CE37" s="248"/>
      <c r="CF37" s="248"/>
      <c r="CG37" s="248"/>
      <c r="CH37" s="248"/>
      <c r="CI37" s="248"/>
      <c r="CJ37" s="248"/>
      <c r="CK37" s="248"/>
      <c r="CL37" s="247"/>
      <c r="CM37" s="247"/>
      <c r="CN37" s="247"/>
      <c r="CO37" s="247"/>
      <c r="CP37" s="247"/>
      <c r="CQ37" s="247"/>
      <c r="CR37" s="247"/>
      <c r="CS37" s="247"/>
      <c r="CT37" s="247"/>
      <c r="CU37" s="247"/>
      <c r="CV37" s="247"/>
      <c r="CW37" s="247"/>
      <c r="CX37" s="247"/>
      <c r="CY37" s="247"/>
      <c r="CZ37" s="247"/>
      <c r="DA37" s="247"/>
      <c r="DB37" s="247"/>
      <c r="DC37" s="247"/>
      <c r="DD37" s="247"/>
      <c r="DE37" s="247"/>
      <c r="DF37" s="247"/>
      <c r="DG37" s="247"/>
      <c r="DH37" s="247"/>
      <c r="DI37" s="247"/>
      <c r="DJ37" s="247"/>
      <c r="DK37" s="247"/>
      <c r="DL37" s="247"/>
      <c r="DM37" s="247"/>
      <c r="DN37" s="247"/>
      <c r="DO37" s="247"/>
      <c r="DP37" s="247"/>
      <c r="DQ37" s="247"/>
      <c r="DR37" s="247"/>
      <c r="DS37" s="247"/>
      <c r="DT37" s="247"/>
      <c r="DU37" s="247"/>
      <c r="DV37" s="247"/>
      <c r="DW37" s="247"/>
      <c r="DX37" s="247"/>
    </row>
    <row r="38" spans="1:128">
      <c r="A38" s="252" t="s">
        <v>247</v>
      </c>
      <c r="B38" s="248"/>
      <c r="C38" s="248"/>
      <c r="D38" s="248"/>
      <c r="E38" s="248"/>
      <c r="F38" s="248"/>
      <c r="G38" s="248"/>
      <c r="H38" s="248"/>
      <c r="I38" s="248"/>
      <c r="J38" s="248" t="e">
        <f>-'Income Statement'!J28/AVERAGE('Balance Sheet'!I31:J31)</f>
        <v>#DIV/0!</v>
      </c>
      <c r="K38" s="248" t="e">
        <f>-'Income Statement'!K28/AVERAGE('Balance Sheet'!J31:K31)</f>
        <v>#DIV/0!</v>
      </c>
      <c r="L38" s="248" t="e">
        <f>-'Income Statement'!L28/AVERAGE('Balance Sheet'!K31:L31)</f>
        <v>#DIV/0!</v>
      </c>
      <c r="M38" s="248" t="e">
        <f>-'Income Statement'!M28/AVERAGE('Balance Sheet'!L31:M31)</f>
        <v>#DIV/0!</v>
      </c>
      <c r="N38" s="248">
        <f>-'Income Statement'!N28/AVERAGE('Balance Sheet'!M31:N31)</f>
        <v>3.6800128335536524E-2</v>
      </c>
      <c r="O38" s="248">
        <f>-'Income Statement'!O28/AVERAGE('Balance Sheet'!N31:O31)</f>
        <v>1.8318552026287762E-2</v>
      </c>
      <c r="P38" s="248">
        <f>-'Income Statement'!P28/AVERAGE('Balance Sheet'!O31:P31)</f>
        <v>1.9441517852178358E-2</v>
      </c>
      <c r="Q38" s="251">
        <f>-'Income Statement'!Q28/AVERAGE('Balance Sheet'!P31:Q31)</f>
        <v>2.1199947160076633E-2</v>
      </c>
      <c r="R38" s="251">
        <f>-'Income Statement'!R28/AVERAGE('Balance Sheet'!Q31:R31)</f>
        <v>2.0185553489405355E-2</v>
      </c>
      <c r="S38" s="251">
        <f>-'Income Statement'!S28/AVERAGE('Balance Sheet'!R31:S31)</f>
        <v>2.1273419875115638E-2</v>
      </c>
      <c r="T38" s="248">
        <f>-'Income Statement'!T28/AVERAGE('Balance Sheet'!S31:T31)</f>
        <v>1.9771849886099972E-2</v>
      </c>
      <c r="U38" s="247">
        <f>-'Income Statement'!U28/AVERAGE('Balance Sheet'!T31:U31)</f>
        <v>1.8985893963665883E-2</v>
      </c>
      <c r="V38" s="247">
        <f>-'Income Statement'!V28/AVERAGE('Balance Sheet'!U31:V31)</f>
        <v>1.8321160232989558E-2</v>
      </c>
      <c r="W38" s="247">
        <f>-'Income Statement'!W28/AVERAGE('Balance Sheet'!V31:W31)</f>
        <v>1.7718529652650472E-2</v>
      </c>
      <c r="X38" s="247">
        <f>-'Income Statement'!X28/AVERAGE('Balance Sheet'!W31:X31)</f>
        <v>1.725592646022223E-2</v>
      </c>
      <c r="Y38" s="247">
        <f>-'Income Statement'!Y28/AVERAGE('Balance Sheet'!X31:Y31)</f>
        <v>1.6736010048328268E-2</v>
      </c>
      <c r="Z38" s="247">
        <f>-'Income Statement'!Z28/AVERAGE('Balance Sheet'!Y31:Z31)</f>
        <v>1.6143926642044008E-2</v>
      </c>
      <c r="AA38" s="213"/>
      <c r="AB38" s="252" t="str">
        <f>A38</f>
        <v>Personnel expenses, % of average assets</v>
      </c>
      <c r="AC38" s="249" t="e">
        <f>-'Income Statement'!AC36/AVERAGE('Balance Sheet'!AB88:AC88)</f>
        <v>#DIV/0!</v>
      </c>
      <c r="AD38" s="259" t="e">
        <f>-'Income Statement'!AD28/AVERAGE('Balance Sheet'!AC31:AD31)</f>
        <v>#DIV/0!</v>
      </c>
      <c r="AE38" s="259" t="e">
        <f>-'Income Statement'!AE28/AVERAGE('Balance Sheet'!AD31:AE31)</f>
        <v>#DIV/0!</v>
      </c>
      <c r="AF38" s="259" t="e">
        <f>-'Income Statement'!AF28/AVERAGE('Balance Sheet'!AE31:AF31)</f>
        <v>#DIV/0!</v>
      </c>
      <c r="AG38" s="259" t="e">
        <f>-'Income Statement'!AG28/AVERAGE('Balance Sheet'!AF31:AG31)</f>
        <v>#DIV/0!</v>
      </c>
      <c r="AH38" s="259" t="e">
        <f>-'Income Statement'!AH28/AVERAGE('Balance Sheet'!AG31:AH31)</f>
        <v>#DIV/0!</v>
      </c>
      <c r="AI38" s="259" t="e">
        <f>-'Income Statement'!AI28/AVERAGE('Balance Sheet'!AH31:AI31)</f>
        <v>#DIV/0!</v>
      </c>
      <c r="AJ38" s="259" t="e">
        <f>-'Income Statement'!AJ28/AVERAGE('Balance Sheet'!AI31:AJ31)</f>
        <v>#DIV/0!</v>
      </c>
      <c r="AK38" s="259" t="e">
        <f>-'Income Statement'!AK28/AVERAGE('Balance Sheet'!AJ31:AK31)</f>
        <v>#DIV/0!</v>
      </c>
      <c r="AL38" s="259" t="e">
        <f>-'Income Statement'!AL28/AVERAGE('Balance Sheet'!AK31:AL31)</f>
        <v>#DIV/0!</v>
      </c>
      <c r="AM38" s="259" t="e">
        <f>-'Income Statement'!AM28/AVERAGE('Balance Sheet'!AL31:AM31)</f>
        <v>#DIV/0!</v>
      </c>
      <c r="AN38" s="259" t="e">
        <f>-'Income Statement'!AN28/AVERAGE('Balance Sheet'!AM31:AN31)</f>
        <v>#DIV/0!</v>
      </c>
      <c r="AO38" s="259" t="e">
        <f>-'Income Statement'!AO28/AVERAGE('Balance Sheet'!AN31:AO31)</f>
        <v>#DIV/0!</v>
      </c>
      <c r="AP38" s="259" t="e">
        <f>-'Income Statement'!AP28/AVERAGE('Balance Sheet'!AO31:AP31)</f>
        <v>#DIV/0!</v>
      </c>
      <c r="AQ38" s="259" t="e">
        <f>-'Income Statement'!AQ28/AVERAGE('Balance Sheet'!AP31:AQ31)</f>
        <v>#DIV/0!</v>
      </c>
      <c r="AR38" s="259" t="e">
        <f>-'Income Statement'!AR28/AVERAGE('Balance Sheet'!AQ31:AR31)</f>
        <v>#DIV/0!</v>
      </c>
      <c r="AS38" s="259" t="e">
        <f>-'Income Statement'!AS28/AVERAGE('Balance Sheet'!AR31:AS31)</f>
        <v>#DIV/0!</v>
      </c>
      <c r="AT38" s="259" t="e">
        <f>-'Income Statement'!AT28/AVERAGE('Balance Sheet'!AS31:AT31)</f>
        <v>#DIV/0!</v>
      </c>
      <c r="AU38" s="259" t="e">
        <f>-'Income Statement'!AU28/AVERAGE('Balance Sheet'!AT31:AU31)</f>
        <v>#DIV/0!</v>
      </c>
      <c r="AV38" s="259" t="e">
        <f>-'Income Statement'!AV28/AVERAGE('Balance Sheet'!AU31:AV31)</f>
        <v>#DIV/0!</v>
      </c>
      <c r="AW38" s="259" t="e">
        <f>-'Income Statement'!AW28/AVERAGE('Balance Sheet'!AV31:AW31)</f>
        <v>#DIV/0!</v>
      </c>
      <c r="AX38" s="259" t="e">
        <f>-'Income Statement'!AX28/AVERAGE('Balance Sheet'!AW31:AX31)</f>
        <v>#DIV/0!</v>
      </c>
      <c r="AY38" s="259" t="e">
        <f>-'Income Statement'!AY28/AVERAGE('Balance Sheet'!AX31:AY31)</f>
        <v>#DIV/0!</v>
      </c>
      <c r="AZ38" s="259" t="e">
        <f>-'Income Statement'!AZ28/AVERAGE('Balance Sheet'!AY31:AZ31)</f>
        <v>#DIV/0!</v>
      </c>
      <c r="BA38" s="259" t="e">
        <f>-'Income Statement'!BA28/AVERAGE('Balance Sheet'!AZ31:BA31)</f>
        <v>#DIV/0!</v>
      </c>
      <c r="BB38" s="259" t="e">
        <f>-'Income Statement'!BB28/AVERAGE('Balance Sheet'!BA31:BB31)</f>
        <v>#DIV/0!</v>
      </c>
      <c r="BC38" s="259" t="e">
        <f>-'Income Statement'!BC28/AVERAGE('Balance Sheet'!BB31:BC31)</f>
        <v>#DIV/0!</v>
      </c>
      <c r="BD38" s="259" t="e">
        <f>-'Income Statement'!BD28/AVERAGE('Balance Sheet'!BC31:BD31)</f>
        <v>#DIV/0!</v>
      </c>
      <c r="BE38" s="259" t="e">
        <f>-'Income Statement'!BE28/AVERAGE('Balance Sheet'!BD31:BE31)</f>
        <v>#DIV/0!</v>
      </c>
      <c r="BF38" s="259" t="e">
        <f>-'Income Statement'!BF28/AVERAGE('Balance Sheet'!BE31:BF31)</f>
        <v>#DIV/0!</v>
      </c>
      <c r="BG38" s="259" t="e">
        <f>-'Income Statement'!BG28/AVERAGE('Balance Sheet'!BF31:BG31)</f>
        <v>#DIV/0!</v>
      </c>
      <c r="BH38" s="259" t="e">
        <f>-'Income Statement'!BH28/AVERAGE('Balance Sheet'!BG31:BH31)</f>
        <v>#DIV/0!</v>
      </c>
      <c r="BI38" s="259" t="e">
        <f>-'Income Statement'!BI28/AVERAGE('Balance Sheet'!BH31:BI31)</f>
        <v>#DIV/0!</v>
      </c>
      <c r="BJ38" s="259" t="e">
        <f>-'Income Statement'!BJ28/AVERAGE('Balance Sheet'!BI31:BJ31)</f>
        <v>#DIV/0!</v>
      </c>
      <c r="BK38" s="259" t="e">
        <f>-'Income Statement'!BK28/AVERAGE('Balance Sheet'!BJ31:BK31)</f>
        <v>#DIV/0!</v>
      </c>
      <c r="BL38" s="259" t="e">
        <f>-'Income Statement'!BL28/AVERAGE('Balance Sheet'!BK31:BL31)</f>
        <v>#DIV/0!</v>
      </c>
      <c r="BM38" s="259" t="e">
        <f>-'Income Statement'!BM28/AVERAGE('Balance Sheet'!BL31:BM31)</f>
        <v>#DIV/0!</v>
      </c>
      <c r="BN38" s="259" t="e">
        <f>-'Income Statement'!BN28/AVERAGE('Balance Sheet'!BM31:BN31)</f>
        <v>#DIV/0!</v>
      </c>
      <c r="BO38" s="259" t="e">
        <f>-'Income Statement'!BO28/AVERAGE('Balance Sheet'!BN31:BO31)</f>
        <v>#DIV/0!</v>
      </c>
      <c r="BP38" s="259" t="e">
        <f>-'Income Statement'!BP28/AVERAGE('Balance Sheet'!BO31:BP31)</f>
        <v>#DIV/0!</v>
      </c>
      <c r="BQ38" s="259" t="e">
        <f>-'Income Statement'!BQ28/AVERAGE('Balance Sheet'!BP31:BQ31)</f>
        <v>#DIV/0!</v>
      </c>
      <c r="BR38" s="259" t="e">
        <f>-'Income Statement'!BR28/AVERAGE('Balance Sheet'!BQ31:BR31)</f>
        <v>#DIV/0!</v>
      </c>
      <c r="BS38" s="259" t="e">
        <f>-'Income Statement'!BS28/AVERAGE('Balance Sheet'!BR31:BS31)</f>
        <v>#DIV/0!</v>
      </c>
      <c r="BT38" s="259" t="e">
        <f>-'Income Statement'!BT28/AVERAGE('Balance Sheet'!BS31:BT31)</f>
        <v>#DIV/0!</v>
      </c>
      <c r="BU38" s="259" t="e">
        <f>-'Income Statement'!BU28/AVERAGE('Balance Sheet'!BT31:BU31)</f>
        <v>#DIV/0!</v>
      </c>
      <c r="BV38" s="259" t="e">
        <f>-'Income Statement'!BV28/AVERAGE('Balance Sheet'!BU31:BV31)</f>
        <v>#DIV/0!</v>
      </c>
      <c r="BW38" s="259" t="e">
        <f>-'Income Statement'!BW28/AVERAGE('Balance Sheet'!BV31:BW31)</f>
        <v>#DIV/0!</v>
      </c>
      <c r="BX38" s="259" t="e">
        <f>-'Income Statement'!BX28/AVERAGE('Balance Sheet'!BW31:BX31)</f>
        <v>#DIV/0!</v>
      </c>
      <c r="BY38" s="259">
        <f>-'Income Statement'!BY28/AVERAGE('Balance Sheet'!BX31:BY31)</f>
        <v>4.5134509765743531E-3</v>
      </c>
      <c r="BZ38" s="259">
        <f>-'Income Statement'!BZ28/AVERAGE('Balance Sheet'!BY31:BZ31)</f>
        <v>4.362693437877937E-3</v>
      </c>
      <c r="CA38" s="259">
        <f>-'Income Statement'!CA28/AVERAGE('Balance Sheet'!BZ31:CA31)</f>
        <v>4.5820843089284255E-3</v>
      </c>
      <c r="CB38" s="259">
        <f>-'Income Statement'!CB28/AVERAGE('Balance Sheet'!CA31:CB31)</f>
        <v>5.0542428797143183E-3</v>
      </c>
      <c r="CC38" s="259">
        <f>-'Income Statement'!CC28/AVERAGE('Balance Sheet'!CB31:CC31)</f>
        <v>5.0194958027426091E-3</v>
      </c>
      <c r="CD38" s="259">
        <f>-'Income Statement'!CD28/AVERAGE('Balance Sheet'!CC31:CD31)</f>
        <v>4.6229349482030096E-3</v>
      </c>
      <c r="CE38" s="259">
        <f>-'Income Statement'!CE28/AVERAGE('Balance Sheet'!CD31:CE31)</f>
        <v>4.5645652118829136E-3</v>
      </c>
      <c r="CF38" s="259">
        <f>-'Income Statement'!CF28/AVERAGE('Balance Sheet'!CE31:CF31)</f>
        <v>4.6402307025687076E-3</v>
      </c>
      <c r="CG38" s="259">
        <f>-'Income Statement'!CG28/AVERAGE('Balance Sheet'!CF31:CG31)</f>
        <v>4.6482770185064786E-3</v>
      </c>
      <c r="CH38" s="259">
        <f>-'Income Statement'!CH28/AVERAGE('Balance Sheet'!CG31:CH31)</f>
        <v>4.7628384461906237E-3</v>
      </c>
      <c r="CI38" s="259">
        <f>-'Income Statement'!CI28/AVERAGE('Balance Sheet'!CH31:CI31)</f>
        <v>4.9486788726726674E-3</v>
      </c>
      <c r="CJ38" s="259">
        <f>-'Income Statement'!CJ28/AVERAGE('Balance Sheet'!CI31:CJ31)</f>
        <v>5.0115849681756034E-3</v>
      </c>
      <c r="CK38" s="259">
        <f>-'Income Statement'!CK28/AVERAGE('Balance Sheet'!CJ31:CK31)</f>
        <v>5.0794267681989183E-3</v>
      </c>
      <c r="CL38" s="259">
        <f>-'Income Statement'!CL28/AVERAGE('Balance Sheet'!CK31:CL31)</f>
        <v>5.0834253033529312E-3</v>
      </c>
      <c r="CM38" s="259">
        <f>-'Income Statement'!CM28/AVERAGE('Balance Sheet'!CL31:CM31)</f>
        <v>5.3396589543028734E-3</v>
      </c>
      <c r="CN38" s="259">
        <f>-'Income Statement'!CN28/AVERAGE('Balance Sheet'!CM31:CN31)</f>
        <v>5.6318369127162562E-3</v>
      </c>
      <c r="CO38" s="259">
        <f>-'Income Statement'!CO28/AVERAGE('Balance Sheet'!CN31:CO31)</f>
        <v>5.0680211982780318E-3</v>
      </c>
      <c r="CP38" s="259">
        <f>-'Income Statement'!CP28/AVERAGE('Balance Sheet'!CO31:CP31)</f>
        <v>5.209883444002813E-3</v>
      </c>
      <c r="CQ38" s="259">
        <f>-'Income Statement'!CQ28/AVERAGE('Balance Sheet'!CP31:CQ31)</f>
        <v>5.1006545648238687E-3</v>
      </c>
      <c r="CR38" s="259">
        <f>-'Income Statement'!CR28/AVERAGE('Balance Sheet'!CQ31:CR31)</f>
        <v>4.6547033069184599E-3</v>
      </c>
      <c r="CS38" s="259">
        <f>-'Income Statement'!CS28/AVERAGE('Balance Sheet'!CR31:CS31)</f>
        <v>5.0908832021242748E-3</v>
      </c>
      <c r="CT38" s="259">
        <f>-'Income Statement'!CT28/AVERAGE('Balance Sheet'!CS31:CT31)</f>
        <v>5.5663962889725199E-3</v>
      </c>
      <c r="CU38" s="259">
        <f>-'Income Statement'!CU28/AVERAGE('Balance Sheet'!CT31:CU31)</f>
        <v>5.17745790073482E-3</v>
      </c>
      <c r="CV38" s="259">
        <f>-'Income Statement'!CV28/AVERAGE('Balance Sheet'!CU31:CV31)</f>
        <v>5.0751524652932912E-3</v>
      </c>
      <c r="CW38" s="259">
        <f>-'Income Statement'!CW28/AVERAGE('Balance Sheet'!CV31:CW31)</f>
        <v>5.1766586189522096E-3</v>
      </c>
      <c r="CX38" s="259">
        <f>-'Income Statement'!CX28/AVERAGE('Balance Sheet'!CW31:CX31)</f>
        <v>5.0560059304624915E-3</v>
      </c>
      <c r="CY38" s="259">
        <f>-'Income Statement'!CY28/AVERAGE('Balance Sheet'!CX31:CY31)</f>
        <v>4.7559790601940551E-3</v>
      </c>
      <c r="CZ38" s="259">
        <f>-'Income Statement'!CZ28/AVERAGE('Balance Sheet'!CY31:CZ31)</f>
        <v>4.8033285904620117E-3</v>
      </c>
      <c r="DA38" s="258">
        <v>4.7819160965181908E-3</v>
      </c>
      <c r="DB38" s="258">
        <v>4.6673645861521904E-3</v>
      </c>
      <c r="DC38" s="258">
        <v>4.5880790297794039E-3</v>
      </c>
      <c r="DD38" s="258">
        <v>4.6100840981370024E-3</v>
      </c>
      <c r="DE38" s="258">
        <v>4.6244087543040454E-3</v>
      </c>
      <c r="DF38" s="258">
        <v>4.5593636764591407E-3</v>
      </c>
      <c r="DG38" s="258">
        <v>4.4997350719997225E-3</v>
      </c>
      <c r="DH38" s="258">
        <v>4.4732789525514568E-3</v>
      </c>
      <c r="DI38" s="258">
        <v>4.4510726506932644E-3</v>
      </c>
      <c r="DJ38" s="258">
        <v>4.4091812908639482E-3</v>
      </c>
      <c r="DK38" s="258">
        <v>4.3769035088000565E-3</v>
      </c>
      <c r="DL38" s="258">
        <v>4.3587987825379031E-3</v>
      </c>
      <c r="DM38" s="258">
        <v>4.3472183075176016E-3</v>
      </c>
      <c r="DN38" s="258">
        <v>4.3036843839374134E-3</v>
      </c>
      <c r="DO38" s="258">
        <v>4.2701590134871419E-3</v>
      </c>
      <c r="DP38" s="258">
        <v>4.2495397862703649E-3</v>
      </c>
      <c r="DQ38" s="258">
        <v>4.2356083697678007E-3</v>
      </c>
      <c r="DR38" s="258">
        <v>4.1895011859196868E-3</v>
      </c>
      <c r="DS38" s="258">
        <v>4.1545514578000542E-3</v>
      </c>
      <c r="DT38" s="258">
        <v>4.1260209183371435E-3</v>
      </c>
      <c r="DU38" s="258">
        <v>4.1067966556782238E-3</v>
      </c>
      <c r="DV38" s="258">
        <v>4.0561183302946146E-3</v>
      </c>
      <c r="DW38" s="258">
        <v>4.0164898490334293E-3</v>
      </c>
      <c r="DX38" s="258">
        <v>3.9838602291398838E-3</v>
      </c>
    </row>
    <row r="39" spans="1:128">
      <c r="A39" s="252" t="s">
        <v>246</v>
      </c>
      <c r="B39" s="248"/>
      <c r="C39" s="248"/>
      <c r="D39" s="248"/>
      <c r="E39" s="248"/>
      <c r="F39" s="248"/>
      <c r="G39" s="248"/>
      <c r="H39" s="248"/>
      <c r="I39" s="248"/>
      <c r="J39" s="248" t="e">
        <f>-'Income Statement'!J29/AVERAGE('Balance Sheet'!I31:J31)</f>
        <v>#DIV/0!</v>
      </c>
      <c r="K39" s="248" t="e">
        <f>-'Income Statement'!K29/AVERAGE('Balance Sheet'!J31:K31)</f>
        <v>#DIV/0!</v>
      </c>
      <c r="L39" s="248" t="e">
        <f>-'Income Statement'!L29/AVERAGE('Balance Sheet'!K31:L31)</f>
        <v>#DIV/0!</v>
      </c>
      <c r="M39" s="248" t="e">
        <f>-'Income Statement'!M29/AVERAGE('Balance Sheet'!L31:M31)</f>
        <v>#DIV/0!</v>
      </c>
      <c r="N39" s="248">
        <f>-'Income Statement'!N29/AVERAGE('Balance Sheet'!M31:N31)</f>
        <v>2.9273600864699895E-2</v>
      </c>
      <c r="O39" s="248">
        <f>-'Income Statement'!O29/AVERAGE('Balance Sheet'!N31:O31)</f>
        <v>1.3389242183003988E-2</v>
      </c>
      <c r="P39" s="248">
        <f>-'Income Statement'!P29/AVERAGE('Balance Sheet'!O31:P31)</f>
        <v>1.3414545143170923E-2</v>
      </c>
      <c r="Q39" s="251">
        <f>-'Income Statement'!Q29/AVERAGE('Balance Sheet'!P31:Q31)</f>
        <v>1.4972554753153369E-2</v>
      </c>
      <c r="R39" s="251">
        <f>-'Income Statement'!R29/AVERAGE('Balance Sheet'!Q31:R31)</f>
        <v>1.5922088058806207E-2</v>
      </c>
      <c r="S39" s="251">
        <f>-'Income Statement'!S29/AVERAGE('Balance Sheet'!R31:S31)</f>
        <v>1.5444180438728432E-2</v>
      </c>
      <c r="T39" s="248">
        <f>-'Income Statement'!T29/AVERAGE('Balance Sheet'!S31:T31)</f>
        <v>1.3286918765781709E-2</v>
      </c>
      <c r="U39" s="247">
        <f>-'Income Statement'!U29/AVERAGE('Balance Sheet'!T31:U31)</f>
        <v>1.2133955669309816E-2</v>
      </c>
      <c r="V39" s="247">
        <f>-'Income Statement'!V29/AVERAGE('Balance Sheet'!U31:V31)</f>
        <v>1.1770708874146874E-2</v>
      </c>
      <c r="W39" s="247">
        <f>-'Income Statement'!W29/AVERAGE('Balance Sheet'!V31:W31)</f>
        <v>1.1889600561032021E-2</v>
      </c>
      <c r="X39" s="247">
        <f>-'Income Statement'!X29/AVERAGE('Balance Sheet'!W31:X31)</f>
        <v>1.2043553242189734E-2</v>
      </c>
      <c r="Y39" s="247">
        <f>-'Income Statement'!Y29/AVERAGE('Balance Sheet'!X31:Y31)</f>
        <v>1.2149126511905813E-2</v>
      </c>
      <c r="Z39" s="247">
        <f>-'Income Statement'!Z29/AVERAGE('Balance Sheet'!Y31:Z31)</f>
        <v>1.2189308617173744E-2</v>
      </c>
      <c r="AA39" s="213"/>
      <c r="AB39" s="252" t="str">
        <f>A39</f>
        <v>Other administrative expenses, % of average assets</v>
      </c>
      <c r="AC39" s="249" t="e">
        <f>-'Income Statement'!AC37/AVERAGE('Balance Sheet'!AB88:AC88)</f>
        <v>#DIV/0!</v>
      </c>
      <c r="AD39" s="259" t="e">
        <f>-'Income Statement'!AD29/AVERAGE('Balance Sheet'!AC31:AD31)</f>
        <v>#DIV/0!</v>
      </c>
      <c r="AE39" s="259" t="e">
        <f>-'Income Statement'!AE29/AVERAGE('Balance Sheet'!AD31:AE31)</f>
        <v>#DIV/0!</v>
      </c>
      <c r="AF39" s="259" t="e">
        <f>-'Income Statement'!AF29/AVERAGE('Balance Sheet'!AE31:AF31)</f>
        <v>#DIV/0!</v>
      </c>
      <c r="AG39" s="259" t="e">
        <f>-'Income Statement'!AG29/AVERAGE('Balance Sheet'!AF31:AG31)</f>
        <v>#DIV/0!</v>
      </c>
      <c r="AH39" s="259" t="e">
        <f>-'Income Statement'!AH29/AVERAGE('Balance Sheet'!AG31:AH31)</f>
        <v>#DIV/0!</v>
      </c>
      <c r="AI39" s="259" t="e">
        <f>-'Income Statement'!AI29/AVERAGE('Balance Sheet'!AH31:AI31)</f>
        <v>#DIV/0!</v>
      </c>
      <c r="AJ39" s="259" t="e">
        <f>-'Income Statement'!AJ29/AVERAGE('Balance Sheet'!AI31:AJ31)</f>
        <v>#DIV/0!</v>
      </c>
      <c r="AK39" s="259" t="e">
        <f>-'Income Statement'!AK29/AVERAGE('Balance Sheet'!AJ31:AK31)</f>
        <v>#DIV/0!</v>
      </c>
      <c r="AL39" s="259" t="e">
        <f>-'Income Statement'!AL29/AVERAGE('Balance Sheet'!AK31:AL31)</f>
        <v>#DIV/0!</v>
      </c>
      <c r="AM39" s="259" t="e">
        <f>-'Income Statement'!AM29/AVERAGE('Balance Sheet'!AL31:AM31)</f>
        <v>#DIV/0!</v>
      </c>
      <c r="AN39" s="259" t="e">
        <f>-'Income Statement'!AN29/AVERAGE('Balance Sheet'!AM31:AN31)</f>
        <v>#DIV/0!</v>
      </c>
      <c r="AO39" s="259" t="e">
        <f>-'Income Statement'!AO29/AVERAGE('Balance Sheet'!AN31:AO31)</f>
        <v>#DIV/0!</v>
      </c>
      <c r="AP39" s="259" t="e">
        <f>-'Income Statement'!AP29/AVERAGE('Balance Sheet'!AO31:AP31)</f>
        <v>#DIV/0!</v>
      </c>
      <c r="AQ39" s="259" t="e">
        <f>-'Income Statement'!AQ29/AVERAGE('Balance Sheet'!AP31:AQ31)</f>
        <v>#DIV/0!</v>
      </c>
      <c r="AR39" s="259" t="e">
        <f>-'Income Statement'!AR29/AVERAGE('Balance Sheet'!AQ31:AR31)</f>
        <v>#DIV/0!</v>
      </c>
      <c r="AS39" s="259" t="e">
        <f>-'Income Statement'!AS29/AVERAGE('Balance Sheet'!AR31:AS31)</f>
        <v>#DIV/0!</v>
      </c>
      <c r="AT39" s="259" t="e">
        <f>-'Income Statement'!AT29/AVERAGE('Balance Sheet'!AS31:AT31)</f>
        <v>#DIV/0!</v>
      </c>
      <c r="AU39" s="259" t="e">
        <f>-'Income Statement'!AU29/AVERAGE('Balance Sheet'!AT31:AU31)</f>
        <v>#DIV/0!</v>
      </c>
      <c r="AV39" s="259" t="e">
        <f>-'Income Statement'!AV29/AVERAGE('Balance Sheet'!AU31:AV31)</f>
        <v>#DIV/0!</v>
      </c>
      <c r="AW39" s="259" t="e">
        <f>-'Income Statement'!AW29/AVERAGE('Balance Sheet'!AV31:AW31)</f>
        <v>#DIV/0!</v>
      </c>
      <c r="AX39" s="259" t="e">
        <f>-'Income Statement'!AX29/AVERAGE('Balance Sheet'!AW31:AX31)</f>
        <v>#DIV/0!</v>
      </c>
      <c r="AY39" s="259" t="e">
        <f>-'Income Statement'!AY29/AVERAGE('Balance Sheet'!AX31:AY31)</f>
        <v>#DIV/0!</v>
      </c>
      <c r="AZ39" s="259" t="e">
        <f>-'Income Statement'!AZ29/AVERAGE('Balance Sheet'!AY31:AZ31)</f>
        <v>#DIV/0!</v>
      </c>
      <c r="BA39" s="259" t="e">
        <f>-'Income Statement'!BA29/AVERAGE('Balance Sheet'!AZ31:BA31)</f>
        <v>#DIV/0!</v>
      </c>
      <c r="BB39" s="259" t="e">
        <f>-'Income Statement'!BB29/AVERAGE('Balance Sheet'!BA31:BB31)</f>
        <v>#DIV/0!</v>
      </c>
      <c r="BC39" s="259" t="e">
        <f>-'Income Statement'!BC29/AVERAGE('Balance Sheet'!BB31:BC31)</f>
        <v>#DIV/0!</v>
      </c>
      <c r="BD39" s="259" t="e">
        <f>-'Income Statement'!BD29/AVERAGE('Balance Sheet'!BC31:BD31)</f>
        <v>#DIV/0!</v>
      </c>
      <c r="BE39" s="259" t="e">
        <f>-'Income Statement'!BE29/AVERAGE('Balance Sheet'!BD31:BE31)</f>
        <v>#DIV/0!</v>
      </c>
      <c r="BF39" s="259" t="e">
        <f>-'Income Statement'!BF29/AVERAGE('Balance Sheet'!BE31:BF31)</f>
        <v>#DIV/0!</v>
      </c>
      <c r="BG39" s="259" t="e">
        <f>-'Income Statement'!BG29/AVERAGE('Balance Sheet'!BF31:BG31)</f>
        <v>#DIV/0!</v>
      </c>
      <c r="BH39" s="259" t="e">
        <f>-'Income Statement'!BH29/AVERAGE('Balance Sheet'!BG31:BH31)</f>
        <v>#DIV/0!</v>
      </c>
      <c r="BI39" s="259" t="e">
        <f>-'Income Statement'!BI29/AVERAGE('Balance Sheet'!BH31:BI31)</f>
        <v>#DIV/0!</v>
      </c>
      <c r="BJ39" s="259" t="e">
        <f>-'Income Statement'!BJ29/AVERAGE('Balance Sheet'!BI31:BJ31)</f>
        <v>#DIV/0!</v>
      </c>
      <c r="BK39" s="259" t="e">
        <f>-'Income Statement'!BK29/AVERAGE('Balance Sheet'!BJ31:BK31)</f>
        <v>#DIV/0!</v>
      </c>
      <c r="BL39" s="259" t="e">
        <f>-'Income Statement'!BL29/AVERAGE('Balance Sheet'!BK31:BL31)</f>
        <v>#DIV/0!</v>
      </c>
      <c r="BM39" s="259" t="e">
        <f>-'Income Statement'!BM29/AVERAGE('Balance Sheet'!BL31:BM31)</f>
        <v>#DIV/0!</v>
      </c>
      <c r="BN39" s="259" t="e">
        <f>-'Income Statement'!BN29/AVERAGE('Balance Sheet'!BM31:BN31)</f>
        <v>#DIV/0!</v>
      </c>
      <c r="BO39" s="259" t="e">
        <f>-'Income Statement'!BO29/AVERAGE('Balance Sheet'!BN31:BO31)</f>
        <v>#DIV/0!</v>
      </c>
      <c r="BP39" s="259" t="e">
        <f>-'Income Statement'!BP29/AVERAGE('Balance Sheet'!BO31:BP31)</f>
        <v>#DIV/0!</v>
      </c>
      <c r="BQ39" s="259" t="e">
        <f>-'Income Statement'!BQ29/AVERAGE('Balance Sheet'!BP31:BQ31)</f>
        <v>#DIV/0!</v>
      </c>
      <c r="BR39" s="259" t="e">
        <f>-'Income Statement'!BR29/AVERAGE('Balance Sheet'!BQ31:BR31)</f>
        <v>#DIV/0!</v>
      </c>
      <c r="BS39" s="259" t="e">
        <f>-'Income Statement'!BS29/AVERAGE('Balance Sheet'!BR31:BS31)</f>
        <v>#DIV/0!</v>
      </c>
      <c r="BT39" s="259" t="e">
        <f>-'Income Statement'!BT29/AVERAGE('Balance Sheet'!BS31:BT31)</f>
        <v>#DIV/0!</v>
      </c>
      <c r="BU39" s="259" t="e">
        <f>-'Income Statement'!BU29/AVERAGE('Balance Sheet'!BT31:BU31)</f>
        <v>#DIV/0!</v>
      </c>
      <c r="BV39" s="259" t="e">
        <f>-'Income Statement'!BV29/AVERAGE('Balance Sheet'!BU31:BV31)</f>
        <v>#DIV/0!</v>
      </c>
      <c r="BW39" s="259" t="e">
        <f>-'Income Statement'!BW29/AVERAGE('Balance Sheet'!BV31:BW31)</f>
        <v>#DIV/0!</v>
      </c>
      <c r="BX39" s="259" t="e">
        <f>-'Income Statement'!BX29/AVERAGE('Balance Sheet'!BW31:BX31)</f>
        <v>#DIV/0!</v>
      </c>
      <c r="BY39" s="259">
        <f>-'Income Statement'!BY29/AVERAGE('Balance Sheet'!BX31:BY31)</f>
        <v>3.5846670740954443E-3</v>
      </c>
      <c r="BZ39" s="259">
        <f>-'Income Statement'!BZ29/AVERAGE('Balance Sheet'!BY31:BZ31)</f>
        <v>3.4227587723206832E-3</v>
      </c>
      <c r="CA39" s="259">
        <f>-'Income Statement'!CA29/AVERAGE('Balance Sheet'!BZ31:CA31)</f>
        <v>3.3717686147939599E-3</v>
      </c>
      <c r="CB39" s="259">
        <f>-'Income Statement'!CB29/AVERAGE('Balance Sheet'!CA31:CB31)</f>
        <v>4.3471851895321842E-3</v>
      </c>
      <c r="CC39" s="259">
        <f>-'Income Statement'!CC29/AVERAGE('Balance Sheet'!CB31:CC31)</f>
        <v>3.3982421403362887E-3</v>
      </c>
      <c r="CD39" s="259">
        <f>-'Income Statement'!CD29/AVERAGE('Balance Sheet'!CC31:CD31)</f>
        <v>3.4084410149902711E-3</v>
      </c>
      <c r="CE39" s="259">
        <f>-'Income Statement'!CE29/AVERAGE('Balance Sheet'!CD31:CE31)</f>
        <v>3.2270873971605649E-3</v>
      </c>
      <c r="CF39" s="259">
        <f>-'Income Statement'!CF29/AVERAGE('Balance Sheet'!CE31:CF31)</f>
        <v>3.6958045592243799E-3</v>
      </c>
      <c r="CG39" s="259">
        <f>-'Income Statement'!CG29/AVERAGE('Balance Sheet'!CF31:CG31)</f>
        <v>3.0579149553193407E-3</v>
      </c>
      <c r="CH39" s="259">
        <f>-'Income Statement'!CH29/AVERAGE('Balance Sheet'!CG31:CH31)</f>
        <v>3.2197383194923304E-3</v>
      </c>
      <c r="CI39" s="259">
        <f>-'Income Statement'!CI29/AVERAGE('Balance Sheet'!CH31:CI31)</f>
        <v>3.3373336760472521E-3</v>
      </c>
      <c r="CJ39" s="259">
        <f>-'Income Statement'!CJ29/AVERAGE('Balance Sheet'!CI31:CJ31)</f>
        <v>3.7465150247013076E-3</v>
      </c>
      <c r="CK39" s="259">
        <f>-'Income Statement'!CK29/AVERAGE('Balance Sheet'!CJ31:CK31)</f>
        <v>3.2131843409532539E-3</v>
      </c>
      <c r="CL39" s="259">
        <f>-'Income Statement'!CL29/AVERAGE('Balance Sheet'!CK31:CL31)</f>
        <v>3.5601853280278987E-3</v>
      </c>
      <c r="CM39" s="259">
        <f>-'Income Statement'!CM29/AVERAGE('Balance Sheet'!CL31:CM31)</f>
        <v>3.7979400607646287E-3</v>
      </c>
      <c r="CN39" s="259">
        <f>-'Income Statement'!CN29/AVERAGE('Balance Sheet'!CM31:CN31)</f>
        <v>4.3013192506602578E-3</v>
      </c>
      <c r="CO39" s="259">
        <f>-'Income Statement'!CO29/AVERAGE('Balance Sheet'!CN31:CO31)</f>
        <v>3.5363981546239309E-3</v>
      </c>
      <c r="CP39" s="259">
        <f>-'Income Statement'!CP29/AVERAGE('Balance Sheet'!CO31:CP31)</f>
        <v>3.8778683859871941E-3</v>
      </c>
      <c r="CQ39" s="259">
        <f>-'Income Statement'!CQ29/AVERAGE('Balance Sheet'!CP31:CQ31)</f>
        <v>3.8546737700068958E-3</v>
      </c>
      <c r="CR39" s="259">
        <f>-'Income Statement'!CR29/AVERAGE('Balance Sheet'!CQ31:CR31)</f>
        <v>4.5015595568919488E-3</v>
      </c>
      <c r="CS39" s="259">
        <f>-'Income Statement'!CS29/AVERAGE('Balance Sheet'!CR31:CS31)</f>
        <v>3.2819207816287234E-3</v>
      </c>
      <c r="CT39" s="259">
        <f>-'Income Statement'!CT29/AVERAGE('Balance Sheet'!CS31:CT31)</f>
        <v>3.8648865009413285E-3</v>
      </c>
      <c r="CU39" s="259">
        <f>-'Income Statement'!CU29/AVERAGE('Balance Sheet'!CT31:CU31)</f>
        <v>3.7507662422523805E-3</v>
      </c>
      <c r="CV39" s="259">
        <f>-'Income Statement'!CV29/AVERAGE('Balance Sheet'!CU31:CV31)</f>
        <v>4.2256732549812498E-3</v>
      </c>
      <c r="CW39" s="259">
        <f>-'Income Statement'!CW29/AVERAGE('Balance Sheet'!CV31:CW31)</f>
        <v>3.1208332926792935E-3</v>
      </c>
      <c r="CX39" s="259">
        <f>-'Income Statement'!CX29/AVERAGE('Balance Sheet'!CW31:CX31)</f>
        <v>3.3930263381025212E-3</v>
      </c>
      <c r="CY39" s="259">
        <f>-'Income Statement'!CY29/AVERAGE('Balance Sheet'!CX31:CY31)</f>
        <v>3.3519760200047769E-3</v>
      </c>
      <c r="CZ39" s="259">
        <f>-'Income Statement'!CZ29/AVERAGE('Balance Sheet'!CY31:CZ31)</f>
        <v>3.4031864809811025E-3</v>
      </c>
      <c r="DA39" s="258">
        <v>2.8866320787166808E-3</v>
      </c>
      <c r="DB39" s="258">
        <v>2.9314756225500014E-3</v>
      </c>
      <c r="DC39" s="258">
        <v>2.9472406392309046E-3</v>
      </c>
      <c r="DD39" s="258">
        <v>3.1390870101596843E-3</v>
      </c>
      <c r="DE39" s="258">
        <v>2.7714654321389122E-3</v>
      </c>
      <c r="DF39" s="258">
        <v>2.8580639203889544E-3</v>
      </c>
      <c r="DG39" s="258">
        <v>2.8964663340749616E-3</v>
      </c>
      <c r="DH39" s="258">
        <v>3.1232485321152207E-3</v>
      </c>
      <c r="DI39" s="258">
        <v>2.7922039585494751E-3</v>
      </c>
      <c r="DJ39" s="258">
        <v>2.8892074820296076E-3</v>
      </c>
      <c r="DK39" s="258">
        <v>2.9376669539338852E-3</v>
      </c>
      <c r="DL39" s="258">
        <v>3.173222125947494E-3</v>
      </c>
      <c r="DM39" s="258">
        <v>2.8364208980477318E-3</v>
      </c>
      <c r="DN39" s="258">
        <v>2.9331749012107902E-3</v>
      </c>
      <c r="DO39" s="258">
        <v>2.980961754081655E-3</v>
      </c>
      <c r="DP39" s="258">
        <v>3.2177501816851267E-3</v>
      </c>
      <c r="DQ39" s="258">
        <v>2.8744303859376936E-3</v>
      </c>
      <c r="DR39" s="258">
        <v>2.9698644956090842E-3</v>
      </c>
      <c r="DS39" s="258">
        <v>3.0165690418957006E-3</v>
      </c>
      <c r="DT39" s="258">
        <v>3.2495155548793618E-3</v>
      </c>
      <c r="DU39" s="258">
        <v>2.8987847505256925E-3</v>
      </c>
      <c r="DV39" s="258">
        <v>2.990623240773082E-3</v>
      </c>
      <c r="DW39" s="258">
        <v>3.0332804908309997E-3</v>
      </c>
      <c r="DX39" s="258">
        <v>3.2633830898010506E-3</v>
      </c>
    </row>
    <row r="40" spans="1:128">
      <c r="A40" s="252" t="s">
        <v>245</v>
      </c>
      <c r="B40" s="254"/>
      <c r="C40" s="254"/>
      <c r="D40" s="254"/>
      <c r="E40" s="254"/>
      <c r="F40" s="254"/>
      <c r="G40" s="254"/>
      <c r="H40" s="254"/>
      <c r="I40" s="254"/>
      <c r="J40" s="254" t="e">
        <f>-'Income Statement'!J30/AVERAGE('Balance Sheet'!I28:J28)</f>
        <v>#DIV/0!</v>
      </c>
      <c r="K40" s="254" t="e">
        <f>-'Income Statement'!K30/AVERAGE('Balance Sheet'!J28:K28)</f>
        <v>#DIV/0!</v>
      </c>
      <c r="L40" s="254" t="e">
        <f>-'Income Statement'!L30/AVERAGE('Balance Sheet'!K28:L28)</f>
        <v>#DIV/0!</v>
      </c>
      <c r="M40" s="254" t="e">
        <f>-'Income Statement'!M30/AVERAGE('Balance Sheet'!L28:M28)</f>
        <v>#DIV/0!</v>
      </c>
      <c r="N40" s="254">
        <f>-'Income Statement'!N30/AVERAGE('Balance Sheet'!M28:N28)</f>
        <v>0.46149227829170808</v>
      </c>
      <c r="O40" s="254">
        <f>-'Income Statement'!O30/AVERAGE('Balance Sheet'!N28:O28)</f>
        <v>0.23694349673656784</v>
      </c>
      <c r="P40" s="254">
        <f>-'Income Statement'!P30/AVERAGE('Balance Sheet'!O28:P28)</f>
        <v>0.23786034839088593</v>
      </c>
      <c r="Q40" s="256">
        <f>-'Income Statement'!Q30/AVERAGE('Balance Sheet'!P28:Q28)</f>
        <v>0.22918240626618502</v>
      </c>
      <c r="R40" s="256">
        <f>-'Income Statement'!R30/AVERAGE('Balance Sheet'!Q28:R28)</f>
        <v>0.2057626284359198</v>
      </c>
      <c r="S40" s="256">
        <f>-'Income Statement'!S30/AVERAGE('Balance Sheet'!R28:S28)</f>
        <v>0.21480896084725978</v>
      </c>
      <c r="T40" s="254">
        <f>-'Income Statement'!T30/AVERAGE('Balance Sheet'!S28:T28)</f>
        <v>0.27082800951061758</v>
      </c>
      <c r="U40" s="253">
        <f>-'Income Statement'!U30/AVERAGE('Balance Sheet'!T28:U28)</f>
        <v>0.42357518711064468</v>
      </c>
      <c r="V40" s="253">
        <f>-'Income Statement'!V30/AVERAGE('Balance Sheet'!U28:V28)</f>
        <v>0.41557617704303246</v>
      </c>
      <c r="W40" s="253">
        <f>-'Income Statement'!W30/AVERAGE('Balance Sheet'!V28:W28)</f>
        <v>0.40757716697542012</v>
      </c>
      <c r="X40" s="253">
        <f>-'Income Statement'!X30/AVERAGE('Balance Sheet'!W28:X28)</f>
        <v>0.39957815690780785</v>
      </c>
      <c r="Y40" s="253">
        <f>-'Income Statement'!Y30/AVERAGE('Balance Sheet'!X28:Y28)</f>
        <v>0.39157914684019557</v>
      </c>
      <c r="Z40" s="253">
        <f>-'Income Statement'!Z30/AVERAGE('Balance Sheet'!Y28:Z28)</f>
        <v>0.38358013677258318</v>
      </c>
      <c r="AA40" s="213"/>
      <c r="AB40" s="252" t="str">
        <f>A40</f>
        <v>Depreciation and amortization, % of PP&amp;E</v>
      </c>
      <c r="AC40" s="249"/>
      <c r="AD40" s="254" t="e">
        <f>-'Income Statement'!AD30/AVERAGE('Balance Sheet'!AC28:AD28)</f>
        <v>#DIV/0!</v>
      </c>
      <c r="AE40" s="254" t="e">
        <f>-'Income Statement'!AE30/AVERAGE('Balance Sheet'!AD28:AE28)</f>
        <v>#DIV/0!</v>
      </c>
      <c r="AF40" s="254" t="e">
        <f>-'Income Statement'!AF30/AVERAGE('Balance Sheet'!AE28:AF28)</f>
        <v>#DIV/0!</v>
      </c>
      <c r="AG40" s="254" t="e">
        <f>-'Income Statement'!AG30/AVERAGE('Balance Sheet'!AF28:AG28)</f>
        <v>#DIV/0!</v>
      </c>
      <c r="AH40" s="254" t="e">
        <f>-'Income Statement'!AH30/AVERAGE('Balance Sheet'!AG28:AH28)</f>
        <v>#DIV/0!</v>
      </c>
      <c r="AI40" s="254" t="e">
        <f>-'Income Statement'!AI30/AVERAGE('Balance Sheet'!AH28:AI28)</f>
        <v>#DIV/0!</v>
      </c>
      <c r="AJ40" s="254" t="e">
        <f>-'Income Statement'!AJ30/AVERAGE('Balance Sheet'!AI28:AJ28)</f>
        <v>#DIV/0!</v>
      </c>
      <c r="AK40" s="254" t="e">
        <f>-'Income Statement'!AK30/AVERAGE('Balance Sheet'!AJ28:AK28)</f>
        <v>#DIV/0!</v>
      </c>
      <c r="AL40" s="254" t="e">
        <f>-'Income Statement'!AL30/AVERAGE('Balance Sheet'!AK28:AL28)</f>
        <v>#DIV/0!</v>
      </c>
      <c r="AM40" s="254" t="e">
        <f>-'Income Statement'!AM30/AVERAGE('Balance Sheet'!AL28:AM28)</f>
        <v>#DIV/0!</v>
      </c>
      <c r="AN40" s="254" t="e">
        <f>-'Income Statement'!AN30/AVERAGE('Balance Sheet'!AM28:AN28)</f>
        <v>#DIV/0!</v>
      </c>
      <c r="AO40" s="254" t="e">
        <f>-'Income Statement'!AO30/AVERAGE('Balance Sheet'!AN28:AO28)</f>
        <v>#DIV/0!</v>
      </c>
      <c r="AP40" s="254" t="e">
        <f>-'Income Statement'!AP30/AVERAGE('Balance Sheet'!AO28:AP28)</f>
        <v>#DIV/0!</v>
      </c>
      <c r="AQ40" s="254" t="e">
        <f>-'Income Statement'!AQ30/AVERAGE('Balance Sheet'!AP28:AQ28)</f>
        <v>#DIV/0!</v>
      </c>
      <c r="AR40" s="254" t="e">
        <f>-'Income Statement'!AR30/AVERAGE('Balance Sheet'!AQ28:AR28)</f>
        <v>#DIV/0!</v>
      </c>
      <c r="AS40" s="254" t="e">
        <f>-'Income Statement'!AS30/AVERAGE('Balance Sheet'!AR28:AS28)</f>
        <v>#DIV/0!</v>
      </c>
      <c r="AT40" s="254" t="e">
        <f>-'Income Statement'!AT30/AVERAGE('Balance Sheet'!AS28:AT28)</f>
        <v>#DIV/0!</v>
      </c>
      <c r="AU40" s="254" t="e">
        <f>-'Income Statement'!AU30/AVERAGE('Balance Sheet'!AT28:AU28)</f>
        <v>#DIV/0!</v>
      </c>
      <c r="AV40" s="254" t="e">
        <f>-'Income Statement'!AV30/AVERAGE('Balance Sheet'!AU28:AV28)</f>
        <v>#DIV/0!</v>
      </c>
      <c r="AW40" s="254" t="e">
        <f>-'Income Statement'!AW30/AVERAGE('Balance Sheet'!AV28:AW28)</f>
        <v>#DIV/0!</v>
      </c>
      <c r="AX40" s="254" t="e">
        <f>-'Income Statement'!AX30/AVERAGE('Balance Sheet'!AW28:AX28)</f>
        <v>#DIV/0!</v>
      </c>
      <c r="AY40" s="254" t="e">
        <f>-'Income Statement'!AY30/AVERAGE('Balance Sheet'!AX28:AY28)</f>
        <v>#DIV/0!</v>
      </c>
      <c r="AZ40" s="254" t="e">
        <f>-'Income Statement'!AZ30/AVERAGE('Balance Sheet'!AY28:AZ28)</f>
        <v>#DIV/0!</v>
      </c>
      <c r="BA40" s="254" t="e">
        <f>-'Income Statement'!BA30/AVERAGE('Balance Sheet'!AZ28:BA28)</f>
        <v>#DIV/0!</v>
      </c>
      <c r="BB40" s="254" t="e">
        <f>-'Income Statement'!BB30/AVERAGE('Balance Sheet'!BA28:BB28)</f>
        <v>#DIV/0!</v>
      </c>
      <c r="BC40" s="254" t="e">
        <f>-'Income Statement'!BC30/AVERAGE('Balance Sheet'!BB28:BC28)</f>
        <v>#DIV/0!</v>
      </c>
      <c r="BD40" s="254" t="e">
        <f>-'Income Statement'!BD30/AVERAGE('Balance Sheet'!BC28:BD28)</f>
        <v>#DIV/0!</v>
      </c>
      <c r="BE40" s="254" t="e">
        <f>-'Income Statement'!BE30/AVERAGE('Balance Sheet'!BD28:BE28)</f>
        <v>#DIV/0!</v>
      </c>
      <c r="BF40" s="254" t="e">
        <f>-'Income Statement'!BF30/AVERAGE('Balance Sheet'!BE28:BF28)</f>
        <v>#DIV/0!</v>
      </c>
      <c r="BG40" s="254" t="e">
        <f>-'Income Statement'!BG30/AVERAGE('Balance Sheet'!BF28:BG28)</f>
        <v>#DIV/0!</v>
      </c>
      <c r="BH40" s="254" t="e">
        <f>-'Income Statement'!BH30/AVERAGE('Balance Sheet'!BG28:BH28)</f>
        <v>#DIV/0!</v>
      </c>
      <c r="BI40" s="254" t="e">
        <f>-'Income Statement'!BI30/AVERAGE('Balance Sheet'!BH28:BI28)</f>
        <v>#DIV/0!</v>
      </c>
      <c r="BJ40" s="254" t="e">
        <f>-'Income Statement'!BJ30/AVERAGE('Balance Sheet'!BI28:BJ28)</f>
        <v>#DIV/0!</v>
      </c>
      <c r="BK40" s="254" t="e">
        <f>-'Income Statement'!BK30/AVERAGE('Balance Sheet'!BJ28:BK28)</f>
        <v>#DIV/0!</v>
      </c>
      <c r="BL40" s="254" t="e">
        <f>-'Income Statement'!BL30/AVERAGE('Balance Sheet'!BK28:BL28)</f>
        <v>#DIV/0!</v>
      </c>
      <c r="BM40" s="254" t="e">
        <f>-'Income Statement'!BM30/AVERAGE('Balance Sheet'!BL28:BM28)</f>
        <v>#DIV/0!</v>
      </c>
      <c r="BN40" s="254" t="e">
        <f>-'Income Statement'!BN30/AVERAGE('Balance Sheet'!BM28:BN28)</f>
        <v>#DIV/0!</v>
      </c>
      <c r="BO40" s="254" t="e">
        <f>-'Income Statement'!BO30/AVERAGE('Balance Sheet'!BN28:BO28)</f>
        <v>#DIV/0!</v>
      </c>
      <c r="BP40" s="254" t="e">
        <f>-'Income Statement'!BP30/AVERAGE('Balance Sheet'!BO28:BP28)</f>
        <v>#DIV/0!</v>
      </c>
      <c r="BQ40" s="254" t="e">
        <f>-'Income Statement'!BQ30/AVERAGE('Balance Sheet'!BP28:BQ28)</f>
        <v>#DIV/0!</v>
      </c>
      <c r="BR40" s="254" t="e">
        <f>-'Income Statement'!BR30/AVERAGE('Balance Sheet'!BQ28:BR28)</f>
        <v>#DIV/0!</v>
      </c>
      <c r="BS40" s="254" t="e">
        <f>-'Income Statement'!BS30/AVERAGE('Balance Sheet'!BR28:BS28)</f>
        <v>#DIV/0!</v>
      </c>
      <c r="BT40" s="254" t="e">
        <f>-'Income Statement'!BT30/AVERAGE('Balance Sheet'!BS28:BT28)</f>
        <v>#DIV/0!</v>
      </c>
      <c r="BU40" s="254" t="e">
        <f>-'Income Statement'!BU30/AVERAGE('Balance Sheet'!BT28:BU28)</f>
        <v>#DIV/0!</v>
      </c>
      <c r="BV40" s="254" t="e">
        <f>-'Income Statement'!BV30/AVERAGE('Balance Sheet'!BU28:BV28)</f>
        <v>#DIV/0!</v>
      </c>
      <c r="BW40" s="254" t="e">
        <f>-'Income Statement'!BW30/AVERAGE('Balance Sheet'!BV28:BW28)</f>
        <v>#DIV/0!</v>
      </c>
      <c r="BX40" s="254" t="e">
        <f>-'Income Statement'!BX30/AVERAGE('Balance Sheet'!BW28:BX28)</f>
        <v>#DIV/0!</v>
      </c>
      <c r="BY40" s="254">
        <f>-'Income Statement'!BY30/AVERAGE('Balance Sheet'!BX28:BY28)</f>
        <v>5.3609310158959998E-2</v>
      </c>
      <c r="BZ40" s="254">
        <f>-'Income Statement'!BZ30/AVERAGE('Balance Sheet'!BY28:BZ28)</f>
        <v>5.2924168729383693E-2</v>
      </c>
      <c r="CA40" s="254">
        <f>-'Income Statement'!CA30/AVERAGE('Balance Sheet'!BZ28:CA28)</f>
        <v>6.6672711189601233E-2</v>
      </c>
      <c r="CB40" s="254">
        <f>-'Income Statement'!CB30/AVERAGE('Balance Sheet'!CA28:CB28)</f>
        <v>5.9692317244130773E-2</v>
      </c>
      <c r="CC40" s="254">
        <f>-'Income Statement'!CC30/AVERAGE('Balance Sheet'!CB28:CC28)</f>
        <v>5.8969555283956608E-2</v>
      </c>
      <c r="CD40" s="254">
        <f>-'Income Statement'!CD30/AVERAGE('Balance Sheet'!CC28:CD28)</f>
        <v>5.985787050018538E-2</v>
      </c>
      <c r="CE40" s="254">
        <f>-'Income Statement'!CE30/AVERAGE('Balance Sheet'!CD28:CE28)</f>
        <v>6.023110061730684E-2</v>
      </c>
      <c r="CF40" s="254">
        <f>-'Income Statement'!CF30/AVERAGE('Balance Sheet'!CE28:CF28)</f>
        <v>6.257528850319713E-2</v>
      </c>
      <c r="CG40" s="254">
        <f>-'Income Statement'!CG30/AVERAGE('Balance Sheet'!CF28:CG28)</f>
        <v>6.1209679645162926E-2</v>
      </c>
      <c r="CH40" s="254">
        <f>-'Income Statement'!CH30/AVERAGE('Balance Sheet'!CG28:CH28)</f>
        <v>6.0848000033173325E-2</v>
      </c>
      <c r="CI40" s="254">
        <f>-'Income Statement'!CI30/AVERAGE('Balance Sheet'!CH28:CI28)</f>
        <v>6.105342567937503E-2</v>
      </c>
      <c r="CJ40" s="254">
        <f>-'Income Statement'!CJ30/AVERAGE('Balance Sheet'!CI28:CJ28)</f>
        <v>6.066102406602554E-2</v>
      </c>
      <c r="CK40" s="254">
        <f>-'Income Statement'!CK30/AVERAGE('Balance Sheet'!CJ28:CK28)</f>
        <v>6.1060750186102374E-2</v>
      </c>
      <c r="CL40" s="254">
        <f>-'Income Statement'!CL30/AVERAGE('Balance Sheet'!CK28:CL28)</f>
        <v>5.73575280165462E-2</v>
      </c>
      <c r="CM40" s="254">
        <f>-'Income Statement'!CM30/AVERAGE('Balance Sheet'!CL28:CM28)</f>
        <v>5.4266751935398976E-2</v>
      </c>
      <c r="CN40" s="254">
        <f>-'Income Statement'!CN30/AVERAGE('Balance Sheet'!CM28:CN28)</f>
        <v>5.741982490902027E-2</v>
      </c>
      <c r="CO40" s="254">
        <f>-'Income Statement'!CO30/AVERAGE('Balance Sheet'!CN28:CO28)</f>
        <v>5.4439133745083655E-2</v>
      </c>
      <c r="CP40" s="254">
        <f>-'Income Statement'!CP30/AVERAGE('Balance Sheet'!CO28:CP28)</f>
        <v>5.3639552936103903E-2</v>
      </c>
      <c r="CQ40" s="254">
        <f>-'Income Statement'!CQ30/AVERAGE('Balance Sheet'!CP28:CQ28)</f>
        <v>5.0746026586126626E-2</v>
      </c>
      <c r="CR40" s="254">
        <f>-'Income Statement'!CR30/AVERAGE('Balance Sheet'!CQ28:CR28)</f>
        <v>5.1460562803275781E-2</v>
      </c>
      <c r="CS40" s="254">
        <f>-'Income Statement'!CS30/AVERAGE('Balance Sheet'!CR28:CS28)</f>
        <v>4.6462888712728377E-2</v>
      </c>
      <c r="CT40" s="254">
        <f>-'Income Statement'!CT30/AVERAGE('Balance Sheet'!CS28:CT28)</f>
        <v>4.8706550752020634E-2</v>
      </c>
      <c r="CU40" s="254">
        <f>-'Income Statement'!CU30/AVERAGE('Balance Sheet'!CT28:CU28)</f>
        <v>4.8335877113746289E-2</v>
      </c>
      <c r="CV40" s="254">
        <f>-'Income Statement'!CV30/AVERAGE('Balance Sheet'!CU28:CV28)</f>
        <v>6.082638112456254E-2</v>
      </c>
      <c r="CW40" s="254">
        <f>-'Income Statement'!CW30/AVERAGE('Balance Sheet'!CV28:CW28)</f>
        <v>5.4648167101090515E-2</v>
      </c>
      <c r="CX40" s="254">
        <f>-'Income Statement'!CX30/AVERAGE('Balance Sheet'!CW28:CX28)</f>
        <v>5.853285311637383E-2</v>
      </c>
      <c r="CY40" s="254">
        <f>-'Income Statement'!CY30/AVERAGE('Balance Sheet'!CX28:CY28)</f>
        <v>5.9988330869671674E-2</v>
      </c>
      <c r="CZ40" s="254">
        <f>-'Income Statement'!CZ30/AVERAGE('Balance Sheet'!CY28:CZ28)</f>
        <v>0.1071631206440227</v>
      </c>
      <c r="DA40" s="253">
        <f t="shared" ref="DA40:DP40" si="24">CZ40-0.05%</f>
        <v>0.1066631206440227</v>
      </c>
      <c r="DB40" s="253">
        <f t="shared" si="24"/>
        <v>0.1061631206440227</v>
      </c>
      <c r="DC40" s="253">
        <f t="shared" si="24"/>
        <v>0.1056631206440227</v>
      </c>
      <c r="DD40" s="253">
        <f t="shared" si="24"/>
        <v>0.1051631206440227</v>
      </c>
      <c r="DE40" s="253">
        <f t="shared" si="24"/>
        <v>0.10466312064402269</v>
      </c>
      <c r="DF40" s="253">
        <f t="shared" si="24"/>
        <v>0.10416312064402269</v>
      </c>
      <c r="DG40" s="253">
        <f t="shared" si="24"/>
        <v>0.10366312064402269</v>
      </c>
      <c r="DH40" s="253">
        <f t="shared" si="24"/>
        <v>0.10316312064402269</v>
      </c>
      <c r="DI40" s="253">
        <f t="shared" si="24"/>
        <v>0.10266312064402269</v>
      </c>
      <c r="DJ40" s="253">
        <f t="shared" si="24"/>
        <v>0.10216312064402269</v>
      </c>
      <c r="DK40" s="253">
        <f t="shared" si="24"/>
        <v>0.10166312064402269</v>
      </c>
      <c r="DL40" s="253">
        <f t="shared" si="24"/>
        <v>0.10116312064402269</v>
      </c>
      <c r="DM40" s="253">
        <f t="shared" si="24"/>
        <v>0.10066312064402269</v>
      </c>
      <c r="DN40" s="253">
        <f t="shared" si="24"/>
        <v>0.10016312064402269</v>
      </c>
      <c r="DO40" s="253">
        <f t="shared" si="24"/>
        <v>9.966312064402269E-2</v>
      </c>
      <c r="DP40" s="253">
        <f t="shared" si="24"/>
        <v>9.916312064402269E-2</v>
      </c>
      <c r="DQ40" s="253">
        <f t="shared" ref="DQ40" si="25">DP40-0.05%</f>
        <v>9.8663120644022689E-2</v>
      </c>
      <c r="DR40" s="253">
        <f t="shared" ref="DR40" si="26">DQ40-0.05%</f>
        <v>9.8163120644022689E-2</v>
      </c>
      <c r="DS40" s="253">
        <f t="shared" ref="DS40" si="27">DR40-0.05%</f>
        <v>9.7663120644022688E-2</v>
      </c>
      <c r="DT40" s="253">
        <f t="shared" ref="DT40" si="28">DS40-0.05%</f>
        <v>9.7163120644022688E-2</v>
      </c>
      <c r="DU40" s="253">
        <f t="shared" ref="DU40" si="29">DT40-0.05%</f>
        <v>9.6663120644022688E-2</v>
      </c>
      <c r="DV40" s="253">
        <f t="shared" ref="DV40" si="30">DU40-0.05%</f>
        <v>9.6163120644022687E-2</v>
      </c>
      <c r="DW40" s="253">
        <f t="shared" ref="DW40" si="31">DV40-0.05%</f>
        <v>9.5663120644022687E-2</v>
      </c>
      <c r="DX40" s="253">
        <f t="shared" ref="DX40" si="32">DW40-0.05%</f>
        <v>9.5163120644022686E-2</v>
      </c>
    </row>
    <row r="41" spans="1:128">
      <c r="A41" s="252" t="s">
        <v>244</v>
      </c>
      <c r="B41" s="254"/>
      <c r="C41" s="254"/>
      <c r="D41" s="254"/>
      <c r="E41" s="254"/>
      <c r="F41" s="254"/>
      <c r="G41" s="254"/>
      <c r="H41" s="254"/>
      <c r="I41" s="254"/>
      <c r="J41" s="254" t="e">
        <f>-'Income Statement'!J31/AVERAGE('Balance Sheet'!I31:J31)</f>
        <v>#DIV/0!</v>
      </c>
      <c r="K41" s="254" t="e">
        <f>-'Income Statement'!K31/AVERAGE('Balance Sheet'!J31:K31)</f>
        <v>#DIV/0!</v>
      </c>
      <c r="L41" s="254" t="e">
        <f>-'Income Statement'!L31/AVERAGE('Balance Sheet'!K31:L31)</f>
        <v>#DIV/0!</v>
      </c>
      <c r="M41" s="254" t="e">
        <f>-'Income Statement'!M31/AVERAGE('Balance Sheet'!L31:M31)</f>
        <v>#DIV/0!</v>
      </c>
      <c r="N41" s="254">
        <f>-'Income Statement'!N31/AVERAGE('Balance Sheet'!M31:N31)</f>
        <v>1.1473857825684271E-2</v>
      </c>
      <c r="O41" s="254">
        <f>-'Income Statement'!O31/AVERAGE('Balance Sheet'!N31:O31)</f>
        <v>4.3297979128796866E-3</v>
      </c>
      <c r="P41" s="254">
        <f>-'Income Statement'!P31/AVERAGE('Balance Sheet'!O31:P31)</f>
        <v>1.5622808768287005E-3</v>
      </c>
      <c r="Q41" s="256">
        <f>-'Income Statement'!Q31/AVERAGE('Balance Sheet'!P31:Q31)</f>
        <v>1.2314077098700324E-3</v>
      </c>
      <c r="R41" s="256">
        <f>-'Income Statement'!R31/AVERAGE('Balance Sheet'!Q31:R31)</f>
        <v>2.0396648726455882E-3</v>
      </c>
      <c r="S41" s="256">
        <f>-'Income Statement'!S31/AVERAGE('Balance Sheet'!R31:S31)</f>
        <v>2.4624024526286835E-3</v>
      </c>
      <c r="T41" s="254">
        <f>-'Income Statement'!T31/AVERAGE('Balance Sheet'!S31:T31)</f>
        <v>1.026140433296594E-3</v>
      </c>
      <c r="U41" s="253">
        <f>-'Income Statement'!U31/AVERAGE('Balance Sheet'!T31:U31)</f>
        <v>7.209475172046E-4</v>
      </c>
      <c r="V41" s="253">
        <f>-'Income Statement'!V31/AVERAGE('Balance Sheet'!U31:V31)</f>
        <v>7.1446063305391917E-4</v>
      </c>
      <c r="W41" s="253">
        <f>-'Income Statement'!W31/AVERAGE('Balance Sheet'!V31:W31)</f>
        <v>7.1289299928108238E-4</v>
      </c>
      <c r="X41" s="253">
        <f>-'Income Statement'!X31/AVERAGE('Balance Sheet'!W31:X31)</f>
        <v>7.1149437519874514E-4</v>
      </c>
      <c r="Y41" s="253">
        <f>-'Income Statement'!Y31/AVERAGE('Balance Sheet'!X31:Y31)</f>
        <v>7.092914779641185E-4</v>
      </c>
      <c r="Z41" s="253">
        <f>-'Income Statement'!Z31/AVERAGE('Balance Sheet'!Y31:Z31)</f>
        <v>7.0720019105814484E-4</v>
      </c>
      <c r="AA41" s="213"/>
      <c r="AB41" s="252" t="str">
        <f>A41</f>
        <v>Other expense, % of avg. assets</v>
      </c>
      <c r="AC41" s="249"/>
      <c r="AD41" s="259" t="e">
        <f>-'Income Statement'!AD31/AVERAGE('Balance Sheet'!AC31:AD31)</f>
        <v>#DIV/0!</v>
      </c>
      <c r="AE41" s="259" t="e">
        <f>-'Income Statement'!AE31/AVERAGE('Balance Sheet'!AD31:AE31)</f>
        <v>#DIV/0!</v>
      </c>
      <c r="AF41" s="259" t="e">
        <f>-'Income Statement'!AF31/AVERAGE('Balance Sheet'!AE31:AF31)</f>
        <v>#DIV/0!</v>
      </c>
      <c r="AG41" s="259" t="e">
        <f>-'Income Statement'!AG31/AVERAGE('Balance Sheet'!AF31:AG31)</f>
        <v>#DIV/0!</v>
      </c>
      <c r="AH41" s="259" t="e">
        <f>-'Income Statement'!AH31/AVERAGE('Balance Sheet'!AG31:AH31)</f>
        <v>#DIV/0!</v>
      </c>
      <c r="AI41" s="259" t="e">
        <f>-'Income Statement'!AI31/AVERAGE('Balance Sheet'!AH31:AI31)</f>
        <v>#DIV/0!</v>
      </c>
      <c r="AJ41" s="259" t="e">
        <f>-'Income Statement'!AJ31/AVERAGE('Balance Sheet'!AI31:AJ31)</f>
        <v>#DIV/0!</v>
      </c>
      <c r="AK41" s="259" t="e">
        <f>-'Income Statement'!AK31/AVERAGE('Balance Sheet'!AJ31:AK31)</f>
        <v>#DIV/0!</v>
      </c>
      <c r="AL41" s="259" t="e">
        <f>-'Income Statement'!AL31/AVERAGE('Balance Sheet'!AK31:AL31)</f>
        <v>#DIV/0!</v>
      </c>
      <c r="AM41" s="259" t="e">
        <f>-'Income Statement'!AM31/AVERAGE('Balance Sheet'!AL31:AM31)</f>
        <v>#DIV/0!</v>
      </c>
      <c r="AN41" s="259" t="e">
        <f>-'Income Statement'!AN31/AVERAGE('Balance Sheet'!AM31:AN31)</f>
        <v>#DIV/0!</v>
      </c>
      <c r="AO41" s="259" t="e">
        <f>-'Income Statement'!AO31/AVERAGE('Balance Sheet'!AN31:AO31)</f>
        <v>#DIV/0!</v>
      </c>
      <c r="AP41" s="259" t="e">
        <f>-'Income Statement'!AP31/AVERAGE('Balance Sheet'!AO31:AP31)</f>
        <v>#DIV/0!</v>
      </c>
      <c r="AQ41" s="259" t="e">
        <f>-'Income Statement'!AQ31/AVERAGE('Balance Sheet'!AP31:AQ31)</f>
        <v>#DIV/0!</v>
      </c>
      <c r="AR41" s="259" t="e">
        <f>-'Income Statement'!AR31/AVERAGE('Balance Sheet'!AQ31:AR31)</f>
        <v>#DIV/0!</v>
      </c>
      <c r="AS41" s="259" t="e">
        <f>-'Income Statement'!AS31/AVERAGE('Balance Sheet'!AR31:AS31)</f>
        <v>#DIV/0!</v>
      </c>
      <c r="AT41" s="259" t="e">
        <f>-'Income Statement'!AT31/AVERAGE('Balance Sheet'!AS31:AT31)</f>
        <v>#DIV/0!</v>
      </c>
      <c r="AU41" s="259" t="e">
        <f>-'Income Statement'!AU31/AVERAGE('Balance Sheet'!AT31:AU31)</f>
        <v>#DIV/0!</v>
      </c>
      <c r="AV41" s="259" t="e">
        <f>-'Income Statement'!AV31/AVERAGE('Balance Sheet'!AU31:AV31)</f>
        <v>#DIV/0!</v>
      </c>
      <c r="AW41" s="259" t="e">
        <f>-'Income Statement'!AW31/AVERAGE('Balance Sheet'!AV31:AW31)</f>
        <v>#DIV/0!</v>
      </c>
      <c r="AX41" s="259" t="e">
        <f>-'Income Statement'!AX31/AVERAGE('Balance Sheet'!AW31:AX31)</f>
        <v>#DIV/0!</v>
      </c>
      <c r="AY41" s="259" t="e">
        <f>-'Income Statement'!AY31/AVERAGE('Balance Sheet'!AX31:AY31)</f>
        <v>#DIV/0!</v>
      </c>
      <c r="AZ41" s="259" t="e">
        <f>-'Income Statement'!AZ31/AVERAGE('Balance Sheet'!AY31:AZ31)</f>
        <v>#DIV/0!</v>
      </c>
      <c r="BA41" s="259" t="e">
        <f>-'Income Statement'!BA31/AVERAGE('Balance Sheet'!AZ31:BA31)</f>
        <v>#DIV/0!</v>
      </c>
      <c r="BB41" s="259" t="e">
        <f>-'Income Statement'!BB31/AVERAGE('Balance Sheet'!BA31:BB31)</f>
        <v>#DIV/0!</v>
      </c>
      <c r="BC41" s="259" t="e">
        <f>-'Income Statement'!BC31/AVERAGE('Balance Sheet'!BB31:BC31)</f>
        <v>#DIV/0!</v>
      </c>
      <c r="BD41" s="259" t="e">
        <f>-'Income Statement'!BD31/AVERAGE('Balance Sheet'!BC31:BD31)</f>
        <v>#DIV/0!</v>
      </c>
      <c r="BE41" s="259" t="e">
        <f>-'Income Statement'!BE31/AVERAGE('Balance Sheet'!BD31:BE31)</f>
        <v>#DIV/0!</v>
      </c>
      <c r="BF41" s="259" t="e">
        <f>-'Income Statement'!BF31/AVERAGE('Balance Sheet'!BE31:BF31)</f>
        <v>#DIV/0!</v>
      </c>
      <c r="BG41" s="259" t="e">
        <f>-'Income Statement'!BG31/AVERAGE('Balance Sheet'!BF31:BG31)</f>
        <v>#DIV/0!</v>
      </c>
      <c r="BH41" s="259" t="e">
        <f>-'Income Statement'!BH31/AVERAGE('Balance Sheet'!BG31:BH31)</f>
        <v>#DIV/0!</v>
      </c>
      <c r="BI41" s="259" t="e">
        <f>-'Income Statement'!BI31/AVERAGE('Balance Sheet'!BH31:BI31)</f>
        <v>#DIV/0!</v>
      </c>
      <c r="BJ41" s="259" t="e">
        <f>-'Income Statement'!BJ31/AVERAGE('Balance Sheet'!BI31:BJ31)</f>
        <v>#DIV/0!</v>
      </c>
      <c r="BK41" s="259" t="e">
        <f>-'Income Statement'!BK31/AVERAGE('Balance Sheet'!BJ31:BK31)</f>
        <v>#DIV/0!</v>
      </c>
      <c r="BL41" s="259" t="e">
        <f>-'Income Statement'!BL31/AVERAGE('Balance Sheet'!BK31:BL31)</f>
        <v>#DIV/0!</v>
      </c>
      <c r="BM41" s="259" t="e">
        <f>-'Income Statement'!BM31/AVERAGE('Balance Sheet'!BL31:BM31)</f>
        <v>#DIV/0!</v>
      </c>
      <c r="BN41" s="259" t="e">
        <f>-'Income Statement'!BN31/AVERAGE('Balance Sheet'!BM31:BN31)</f>
        <v>#DIV/0!</v>
      </c>
      <c r="BO41" s="259" t="e">
        <f>-'Income Statement'!BO31/AVERAGE('Balance Sheet'!BN31:BO31)</f>
        <v>#DIV/0!</v>
      </c>
      <c r="BP41" s="259" t="e">
        <f>-'Income Statement'!BP31/AVERAGE('Balance Sheet'!BO31:BP31)</f>
        <v>#DIV/0!</v>
      </c>
      <c r="BQ41" s="259" t="e">
        <f>-'Income Statement'!BQ31/AVERAGE('Balance Sheet'!BP31:BQ31)</f>
        <v>#DIV/0!</v>
      </c>
      <c r="BR41" s="259" t="e">
        <f>-'Income Statement'!BR31/AVERAGE('Balance Sheet'!BQ31:BR31)</f>
        <v>#DIV/0!</v>
      </c>
      <c r="BS41" s="259" t="e">
        <f>-'Income Statement'!BS31/AVERAGE('Balance Sheet'!BR31:BS31)</f>
        <v>#DIV/0!</v>
      </c>
      <c r="BT41" s="259" t="e">
        <f>-'Income Statement'!BT31/AVERAGE('Balance Sheet'!BS31:BT31)</f>
        <v>#DIV/0!</v>
      </c>
      <c r="BU41" s="259" t="e">
        <f>-'Income Statement'!BU31/AVERAGE('Balance Sheet'!BT31:BU31)</f>
        <v>#DIV/0!</v>
      </c>
      <c r="BV41" s="259" t="e">
        <f>-'Income Statement'!BV31/AVERAGE('Balance Sheet'!BU31:BV31)</f>
        <v>#DIV/0!</v>
      </c>
      <c r="BW41" s="259" t="e">
        <f>-'Income Statement'!BW31/AVERAGE('Balance Sheet'!BV31:BW31)</f>
        <v>#DIV/0!</v>
      </c>
      <c r="BX41" s="259" t="e">
        <f>-'Income Statement'!BX31/AVERAGE('Balance Sheet'!BW31:BX31)</f>
        <v>#DIV/0!</v>
      </c>
      <c r="BY41" s="259">
        <f>-'Income Statement'!BY31/AVERAGE('Balance Sheet'!BX31:BY31)</f>
        <v>1.6812411220161316E-3</v>
      </c>
      <c r="BZ41" s="259">
        <f>-'Income Statement'!BZ31/AVERAGE('Balance Sheet'!BY31:BZ31)</f>
        <v>9.2692864052425661E-4</v>
      </c>
      <c r="CA41" s="259">
        <f>-'Income Statement'!CA31/AVERAGE('Balance Sheet'!BZ31:CA31)</f>
        <v>1.3557701567992887E-3</v>
      </c>
      <c r="CB41" s="259">
        <f>-'Income Statement'!CB31/AVERAGE('Balance Sheet'!CA31:CB31)</f>
        <v>1.8064065238736972E-3</v>
      </c>
      <c r="CC41" s="259">
        <f>-'Income Statement'!CC31/AVERAGE('Balance Sheet'!CB31:CC31)</f>
        <v>1.0456540629350643E-3</v>
      </c>
      <c r="CD41" s="259">
        <f>-'Income Statement'!CD31/AVERAGE('Balance Sheet'!CC31:CD31)</f>
        <v>1.0527809848235364E-3</v>
      </c>
      <c r="CE41" s="259">
        <f>-'Income Statement'!CE31/AVERAGE('Balance Sheet'!CD31:CE31)</f>
        <v>9.9432129020318033E-4</v>
      </c>
      <c r="CF41" s="259">
        <f>-'Income Statement'!CF31/AVERAGE('Balance Sheet'!CE31:CF31)</f>
        <v>1.3285880971690412E-3</v>
      </c>
      <c r="CG41" s="259">
        <f>-'Income Statement'!CG31/AVERAGE('Balance Sheet'!CF31:CG31)</f>
        <v>5.5319677482653317E-4</v>
      </c>
      <c r="CH41" s="259">
        <f>-'Income Statement'!CH31/AVERAGE('Balance Sheet'!CG31:CH31)</f>
        <v>4.0735398377268674E-4</v>
      </c>
      <c r="CI41" s="259">
        <f>-'Income Statement'!CI31/AVERAGE('Balance Sheet'!CH31:CI31)</f>
        <v>2.7954484299396517E-4</v>
      </c>
      <c r="CJ41" s="259">
        <f>-'Income Statement'!CJ31/AVERAGE('Balance Sheet'!CI31:CJ31)</f>
        <v>3.192183364102784E-4</v>
      </c>
      <c r="CK41" s="259">
        <f>-'Income Statement'!CK31/AVERAGE('Balance Sheet'!CJ31:CK31)</f>
        <v>3.7224969620265304E-4</v>
      </c>
      <c r="CL41" s="259">
        <f>-'Income Statement'!CL31/AVERAGE('Balance Sheet'!CK31:CL31)</f>
        <v>3.167844661277593E-4</v>
      </c>
      <c r="CM41" s="259">
        <f>-'Income Statement'!CM31/AVERAGE('Balance Sheet'!CL31:CM31)</f>
        <v>1.3983402590856124E-4</v>
      </c>
      <c r="CN41" s="259">
        <f>-'Income Statement'!CN31/AVERAGE('Balance Sheet'!CM31:CN31)</f>
        <v>4.0203051447617498E-4</v>
      </c>
      <c r="CO41" s="259">
        <f>-'Income Statement'!CO31/AVERAGE('Balance Sheet'!CN31:CO31)</f>
        <v>3.3516396871468912E-4</v>
      </c>
      <c r="CP41" s="259">
        <f>-'Income Statement'!CP31/AVERAGE('Balance Sheet'!CO31:CP31)</f>
        <v>3.9905102334592034E-4</v>
      </c>
      <c r="CQ41" s="259">
        <f>-'Income Statement'!CQ31/AVERAGE('Balance Sheet'!CP31:CQ31)</f>
        <v>1.3640987020650095E-4</v>
      </c>
      <c r="CR41" s="259">
        <f>-'Income Statement'!CR31/AVERAGE('Balance Sheet'!CQ31:CR31)</f>
        <v>1.1355425821766524E-3</v>
      </c>
      <c r="CS41" s="259">
        <f>-'Income Statement'!CS31/AVERAGE('Balance Sheet'!CR31:CS31)</f>
        <v>2.9115097992755951E-4</v>
      </c>
      <c r="CT41" s="259">
        <f>-'Income Statement'!CT31/AVERAGE('Balance Sheet'!CS31:CT31)</f>
        <v>3.2228755489139091E-4</v>
      </c>
      <c r="CU41" s="259">
        <f>-'Income Statement'!CU31/AVERAGE('Balance Sheet'!CT31:CU31)</f>
        <v>6.4948789768830783E-4</v>
      </c>
      <c r="CV41" s="259">
        <f>-'Income Statement'!CV31/AVERAGE('Balance Sheet'!CU31:CV31)</f>
        <v>1.1057365963286318E-3</v>
      </c>
      <c r="CW41" s="259">
        <f>-'Income Statement'!CW31/AVERAGE('Balance Sheet'!CV31:CW31)</f>
        <v>2.9760204668214833E-4</v>
      </c>
      <c r="CX41" s="259">
        <f>-'Income Statement'!CX31/AVERAGE('Balance Sheet'!CW31:CX31)</f>
        <v>3.8916829781628797E-4</v>
      </c>
      <c r="CY41" s="259">
        <f>-'Income Statement'!CY31/AVERAGE('Balance Sheet'!CX31:CY31)</f>
        <v>1.7354288812725395E-4</v>
      </c>
      <c r="CZ41" s="259">
        <f>-'Income Statement'!CZ31/AVERAGE('Balance Sheet'!CY31:CZ31)</f>
        <v>1.7695695807566102E-4</v>
      </c>
      <c r="DA41" s="258">
        <f t="shared" ref="DA41:DP41" si="33">CZ41</f>
        <v>1.7695695807566102E-4</v>
      </c>
      <c r="DB41" s="258">
        <f t="shared" si="33"/>
        <v>1.7695695807566102E-4</v>
      </c>
      <c r="DC41" s="258">
        <f t="shared" si="33"/>
        <v>1.7695695807566102E-4</v>
      </c>
      <c r="DD41" s="258">
        <f t="shared" si="33"/>
        <v>1.7695695807566102E-4</v>
      </c>
      <c r="DE41" s="258">
        <f t="shared" si="33"/>
        <v>1.7695695807566102E-4</v>
      </c>
      <c r="DF41" s="258">
        <f t="shared" si="33"/>
        <v>1.7695695807566102E-4</v>
      </c>
      <c r="DG41" s="258">
        <f t="shared" si="33"/>
        <v>1.7695695807566102E-4</v>
      </c>
      <c r="DH41" s="258">
        <f t="shared" si="33"/>
        <v>1.7695695807566102E-4</v>
      </c>
      <c r="DI41" s="258">
        <f t="shared" si="33"/>
        <v>1.7695695807566102E-4</v>
      </c>
      <c r="DJ41" s="258">
        <f t="shared" si="33"/>
        <v>1.7695695807566102E-4</v>
      </c>
      <c r="DK41" s="258">
        <f t="shared" si="33"/>
        <v>1.7695695807566102E-4</v>
      </c>
      <c r="DL41" s="258">
        <f t="shared" si="33"/>
        <v>1.7695695807566102E-4</v>
      </c>
      <c r="DM41" s="258">
        <f t="shared" si="33"/>
        <v>1.7695695807566102E-4</v>
      </c>
      <c r="DN41" s="258">
        <f t="shared" si="33"/>
        <v>1.7695695807566102E-4</v>
      </c>
      <c r="DO41" s="258">
        <f t="shared" si="33"/>
        <v>1.7695695807566102E-4</v>
      </c>
      <c r="DP41" s="258">
        <f t="shared" si="33"/>
        <v>1.7695695807566102E-4</v>
      </c>
      <c r="DQ41" s="258">
        <f t="shared" ref="DQ41" si="34">DP41</f>
        <v>1.7695695807566102E-4</v>
      </c>
      <c r="DR41" s="258">
        <f t="shared" ref="DR41" si="35">DQ41</f>
        <v>1.7695695807566102E-4</v>
      </c>
      <c r="DS41" s="258">
        <f t="shared" ref="DS41" si="36">DR41</f>
        <v>1.7695695807566102E-4</v>
      </c>
      <c r="DT41" s="258">
        <f t="shared" ref="DT41" si="37">DS41</f>
        <v>1.7695695807566102E-4</v>
      </c>
      <c r="DU41" s="258">
        <f t="shared" ref="DU41" si="38">DT41</f>
        <v>1.7695695807566102E-4</v>
      </c>
      <c r="DV41" s="258">
        <f t="shared" ref="DV41" si="39">DU41</f>
        <v>1.7695695807566102E-4</v>
      </c>
      <c r="DW41" s="258">
        <f t="shared" ref="DW41" si="40">DV41</f>
        <v>1.7695695807566102E-4</v>
      </c>
      <c r="DX41" s="258">
        <f t="shared" ref="DX41" si="41">DW41</f>
        <v>1.7695695807566102E-4</v>
      </c>
    </row>
    <row r="42" spans="1:128">
      <c r="A42" s="252"/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6"/>
      <c r="R42" s="256"/>
      <c r="S42" s="256"/>
      <c r="T42" s="254"/>
      <c r="U42" s="253"/>
      <c r="V42" s="253"/>
      <c r="W42" s="253"/>
      <c r="X42" s="253"/>
      <c r="Y42" s="253"/>
      <c r="Z42" s="253"/>
      <c r="AA42" s="213"/>
      <c r="AB42" s="252"/>
      <c r="AC42" s="249"/>
      <c r="AD42" s="254"/>
      <c r="AE42" s="254"/>
      <c r="AF42" s="254"/>
      <c r="AG42" s="254"/>
      <c r="AH42" s="254"/>
      <c r="AI42" s="254"/>
      <c r="AJ42" s="254"/>
      <c r="AK42" s="254"/>
      <c r="AL42" s="254"/>
      <c r="AM42" s="254"/>
      <c r="AN42" s="254"/>
      <c r="AO42" s="254"/>
      <c r="AP42" s="254"/>
      <c r="AQ42" s="254"/>
      <c r="AR42" s="254"/>
      <c r="AS42" s="254"/>
      <c r="AT42" s="254"/>
      <c r="AU42" s="254"/>
      <c r="AV42" s="254"/>
      <c r="AW42" s="254"/>
      <c r="AX42" s="254"/>
      <c r="AY42" s="254"/>
      <c r="AZ42" s="254"/>
      <c r="BA42" s="254"/>
      <c r="BB42" s="254"/>
      <c r="BC42" s="254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4"/>
      <c r="BT42" s="254"/>
      <c r="BU42" s="254"/>
      <c r="BV42" s="254"/>
      <c r="BW42" s="254"/>
      <c r="BX42" s="254"/>
      <c r="BY42" s="254"/>
      <c r="BZ42" s="254"/>
      <c r="CA42" s="254"/>
      <c r="CB42" s="254"/>
      <c r="CC42" s="254"/>
      <c r="CD42" s="254"/>
      <c r="CE42" s="254"/>
      <c r="CF42" s="254"/>
      <c r="CG42" s="254"/>
      <c r="CH42" s="254"/>
      <c r="CI42" s="254"/>
      <c r="CJ42" s="254"/>
      <c r="CK42" s="254"/>
      <c r="CL42" s="253"/>
      <c r="CM42" s="253"/>
      <c r="CN42" s="253"/>
      <c r="CO42" s="253"/>
      <c r="CP42" s="253"/>
      <c r="CQ42" s="253"/>
      <c r="CR42" s="253"/>
      <c r="CS42" s="253"/>
      <c r="CT42" s="253"/>
      <c r="CU42" s="253"/>
      <c r="CV42" s="253"/>
      <c r="CW42" s="253"/>
      <c r="CX42" s="253"/>
      <c r="CY42" s="253"/>
      <c r="CZ42" s="253"/>
      <c r="DA42" s="253"/>
      <c r="DB42" s="253"/>
      <c r="DC42" s="253"/>
      <c r="DD42" s="253"/>
      <c r="DE42" s="253"/>
      <c r="DF42" s="253"/>
      <c r="DG42" s="253"/>
      <c r="DH42" s="253"/>
      <c r="DI42" s="253"/>
      <c r="DJ42" s="253"/>
      <c r="DK42" s="253"/>
      <c r="DL42" s="253"/>
      <c r="DM42" s="253"/>
      <c r="DN42" s="253"/>
      <c r="DO42" s="253"/>
      <c r="DP42" s="253"/>
      <c r="DQ42" s="253"/>
      <c r="DR42" s="253"/>
      <c r="DS42" s="253"/>
      <c r="DT42" s="253"/>
      <c r="DU42" s="253"/>
      <c r="DV42" s="253"/>
      <c r="DW42" s="253"/>
      <c r="DX42" s="253"/>
    </row>
    <row r="43" spans="1:128">
      <c r="A43" s="257" t="s">
        <v>243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6"/>
      <c r="R43" s="256"/>
      <c r="S43" s="256"/>
      <c r="T43" s="254"/>
      <c r="U43" s="253"/>
      <c r="V43" s="253"/>
      <c r="W43" s="253"/>
      <c r="X43" s="253"/>
      <c r="Y43" s="253"/>
      <c r="Z43" s="253"/>
      <c r="AA43" s="213"/>
      <c r="AB43" s="257" t="str">
        <f t="shared" ref="AB43:AB48" si="42">A43</f>
        <v>Non-operating assumptions</v>
      </c>
      <c r="AC43" s="249"/>
      <c r="AD43" s="254"/>
      <c r="AE43" s="254"/>
      <c r="AF43" s="254"/>
      <c r="AG43" s="254"/>
      <c r="AH43" s="254"/>
      <c r="AI43" s="254"/>
      <c r="AJ43" s="254"/>
      <c r="AK43" s="254"/>
      <c r="AL43" s="254"/>
      <c r="AM43" s="254"/>
      <c r="AN43" s="254"/>
      <c r="AO43" s="254"/>
      <c r="AP43" s="254"/>
      <c r="AQ43" s="254"/>
      <c r="AR43" s="254"/>
      <c r="AS43" s="254"/>
      <c r="AT43" s="254"/>
      <c r="AU43" s="254"/>
      <c r="AV43" s="254"/>
      <c r="AW43" s="254"/>
      <c r="AX43" s="254"/>
      <c r="AY43" s="254"/>
      <c r="AZ43" s="254"/>
      <c r="BA43" s="254"/>
      <c r="BB43" s="254"/>
      <c r="BC43" s="254"/>
      <c r="BD43" s="254"/>
      <c r="BE43" s="254"/>
      <c r="BF43" s="254"/>
      <c r="BG43" s="254"/>
      <c r="BH43" s="254"/>
      <c r="BI43" s="254"/>
      <c r="BJ43" s="254"/>
      <c r="BK43" s="254"/>
      <c r="BL43" s="254"/>
      <c r="BM43" s="254"/>
      <c r="BN43" s="254"/>
      <c r="BO43" s="254"/>
      <c r="BP43" s="254"/>
      <c r="BQ43" s="254"/>
      <c r="BR43" s="254"/>
      <c r="BS43" s="254"/>
      <c r="BT43" s="254"/>
      <c r="BU43" s="254"/>
      <c r="BV43" s="254"/>
      <c r="BW43" s="254"/>
      <c r="BX43" s="254"/>
      <c r="BY43" s="254"/>
      <c r="BZ43" s="254"/>
      <c r="CA43" s="254"/>
      <c r="CB43" s="254"/>
      <c r="CC43" s="254"/>
      <c r="CD43" s="254"/>
      <c r="CE43" s="254"/>
      <c r="CF43" s="254"/>
      <c r="CG43" s="254"/>
      <c r="CH43" s="254"/>
      <c r="CI43" s="254"/>
      <c r="CJ43" s="254"/>
      <c r="CK43" s="254"/>
      <c r="CL43" s="253"/>
      <c r="CM43" s="253"/>
      <c r="CN43" s="253"/>
      <c r="CO43" s="253"/>
      <c r="CP43" s="253"/>
      <c r="CQ43" s="253"/>
      <c r="CR43" s="253"/>
      <c r="CS43" s="253"/>
      <c r="CT43" s="253"/>
      <c r="CU43" s="253"/>
      <c r="CV43" s="253"/>
      <c r="CW43" s="253"/>
      <c r="CX43" s="253"/>
      <c r="CY43" s="253"/>
      <c r="CZ43" s="253"/>
      <c r="DA43" s="253"/>
      <c r="DB43" s="253"/>
      <c r="DC43" s="253"/>
      <c r="DD43" s="253"/>
      <c r="DE43" s="253"/>
      <c r="DF43" s="253"/>
      <c r="DG43" s="253"/>
      <c r="DH43" s="253"/>
      <c r="DI43" s="253"/>
      <c r="DJ43" s="253"/>
      <c r="DK43" s="253"/>
      <c r="DL43" s="253"/>
      <c r="DM43" s="253"/>
      <c r="DN43" s="253"/>
      <c r="DO43" s="253"/>
      <c r="DP43" s="253"/>
      <c r="DQ43" s="253"/>
      <c r="DR43" s="253"/>
      <c r="DS43" s="253"/>
      <c r="DT43" s="253"/>
      <c r="DU43" s="253"/>
      <c r="DV43" s="253"/>
      <c r="DW43" s="253"/>
      <c r="DX43" s="253"/>
    </row>
    <row r="44" spans="1:128">
      <c r="A44" s="255" t="s">
        <v>242</v>
      </c>
      <c r="B44" s="254"/>
      <c r="C44" s="254"/>
      <c r="D44" s="254"/>
      <c r="E44" s="254"/>
      <c r="F44" s="254"/>
      <c r="G44" s="254"/>
      <c r="H44" s="254"/>
      <c r="I44" s="254"/>
      <c r="J44" s="254" t="e">
        <f>'Income Statement'!J34/'Balance Sheet'!I58</f>
        <v>#DIV/0!</v>
      </c>
      <c r="K44" s="254" t="e">
        <f>'Income Statement'!K34/'Balance Sheet'!J58</f>
        <v>#DIV/0!</v>
      </c>
      <c r="L44" s="254" t="e">
        <f>'Income Statement'!L34/'Balance Sheet'!K58</f>
        <v>#DIV/0!</v>
      </c>
      <c r="M44" s="254" t="e">
        <f>'Income Statement'!M34/'Balance Sheet'!L58</f>
        <v>#DIV/0!</v>
      </c>
      <c r="N44" s="254" t="e">
        <f>'Income Statement'!N34/'Balance Sheet'!M58</f>
        <v>#DIV/0!</v>
      </c>
      <c r="O44" s="254">
        <f>'Income Statement'!O34/'Balance Sheet'!N58</f>
        <v>1.0166405691314433E-2</v>
      </c>
      <c r="P44" s="254">
        <f>'Income Statement'!P34/'Balance Sheet'!O58</f>
        <v>1.2939121330245355E-2</v>
      </c>
      <c r="Q44" s="256">
        <f>'Income Statement'!Q34/'Balance Sheet'!P58</f>
        <v>2.1312498812706811E-2</v>
      </c>
      <c r="R44" s="256">
        <f>'Income Statement'!R34/'Balance Sheet'!Q58</f>
        <v>-2.6727846868670243E-2</v>
      </c>
      <c r="S44" s="256">
        <f>'Income Statement'!S34/'Balance Sheet'!R58</f>
        <v>3.6428141998963177E-5</v>
      </c>
      <c r="T44" s="254">
        <f>'Income Statement'!T34/'Balance Sheet'!S58</f>
        <v>1.3119252503048223E-3</v>
      </c>
      <c r="U44" s="253">
        <f ca="1">'Income Statement'!U34/'Balance Sheet'!T58</f>
        <v>0</v>
      </c>
      <c r="V44" s="253">
        <f ca="1">'Income Statement'!V34/'Balance Sheet'!U58</f>
        <v>0</v>
      </c>
      <c r="W44" s="253">
        <f ca="1">'Income Statement'!W34/'Balance Sheet'!V58</f>
        <v>0</v>
      </c>
      <c r="X44" s="253">
        <f ca="1">'Income Statement'!X34/'Balance Sheet'!W58</f>
        <v>0</v>
      </c>
      <c r="Y44" s="253">
        <f ca="1">'Income Statement'!Y34/'Balance Sheet'!X58</f>
        <v>0</v>
      </c>
      <c r="Z44" s="253">
        <f ca="1">'Income Statement'!Z34/'Balance Sheet'!Y58</f>
        <v>0</v>
      </c>
      <c r="AA44" s="213"/>
      <c r="AB44" s="255" t="str">
        <f t="shared" si="42"/>
        <v>Translation result, % of last period's equity</v>
      </c>
      <c r="AC44" s="249"/>
      <c r="AD44" s="254" t="e">
        <f>'Income Statement'!AD34/'Balance Sheet'!AC58</f>
        <v>#DIV/0!</v>
      </c>
      <c r="AE44" s="254" t="e">
        <f>'Income Statement'!AE34/'Balance Sheet'!AD58</f>
        <v>#DIV/0!</v>
      </c>
      <c r="AF44" s="254" t="e">
        <f>'Income Statement'!AF34/'Balance Sheet'!AE58</f>
        <v>#DIV/0!</v>
      </c>
      <c r="AG44" s="254" t="e">
        <f>'Income Statement'!AG34/'Balance Sheet'!AF58</f>
        <v>#DIV/0!</v>
      </c>
      <c r="AH44" s="254" t="e">
        <f>'Income Statement'!AH34/'Balance Sheet'!AG58</f>
        <v>#DIV/0!</v>
      </c>
      <c r="AI44" s="254" t="e">
        <f>'Income Statement'!AI34/'Balance Sheet'!AH58</f>
        <v>#DIV/0!</v>
      </c>
      <c r="AJ44" s="254" t="e">
        <f>'Income Statement'!AJ34/'Balance Sheet'!AI58</f>
        <v>#DIV/0!</v>
      </c>
      <c r="AK44" s="254" t="e">
        <f>'Income Statement'!AK34/'Balance Sheet'!AJ58</f>
        <v>#DIV/0!</v>
      </c>
      <c r="AL44" s="254" t="e">
        <f>'Income Statement'!AL34/'Balance Sheet'!AK58</f>
        <v>#DIV/0!</v>
      </c>
      <c r="AM44" s="254" t="e">
        <f>'Income Statement'!AM34/'Balance Sheet'!AL58</f>
        <v>#DIV/0!</v>
      </c>
      <c r="AN44" s="254" t="e">
        <f>'Income Statement'!AN34/'Balance Sheet'!AM58</f>
        <v>#DIV/0!</v>
      </c>
      <c r="AO44" s="254" t="e">
        <f>'Income Statement'!AO34/'Balance Sheet'!AN58</f>
        <v>#DIV/0!</v>
      </c>
      <c r="AP44" s="254" t="e">
        <f>'Income Statement'!AP34/'Balance Sheet'!AO58</f>
        <v>#DIV/0!</v>
      </c>
      <c r="AQ44" s="254" t="e">
        <f>'Income Statement'!AQ34/'Balance Sheet'!AP58</f>
        <v>#DIV/0!</v>
      </c>
      <c r="AR44" s="254" t="e">
        <f>'Income Statement'!AR34/'Balance Sheet'!AQ58</f>
        <v>#DIV/0!</v>
      </c>
      <c r="AS44" s="254" t="e">
        <f>'Income Statement'!AS34/'Balance Sheet'!AR58</f>
        <v>#DIV/0!</v>
      </c>
      <c r="AT44" s="254" t="e">
        <f>'Income Statement'!AT34/'Balance Sheet'!AS58</f>
        <v>#DIV/0!</v>
      </c>
      <c r="AU44" s="254" t="e">
        <f>'Income Statement'!AU34/'Balance Sheet'!AT58</f>
        <v>#DIV/0!</v>
      </c>
      <c r="AV44" s="254" t="e">
        <f>'Income Statement'!AV34/'Balance Sheet'!AU58</f>
        <v>#DIV/0!</v>
      </c>
      <c r="AW44" s="254" t="e">
        <f>'Income Statement'!AW34/'Balance Sheet'!AV58</f>
        <v>#DIV/0!</v>
      </c>
      <c r="AX44" s="254" t="e">
        <f>'Income Statement'!AX34/'Balance Sheet'!AW58</f>
        <v>#DIV/0!</v>
      </c>
      <c r="AY44" s="254" t="e">
        <f>'Income Statement'!AY34/'Balance Sheet'!AX58</f>
        <v>#DIV/0!</v>
      </c>
      <c r="AZ44" s="254" t="e">
        <f>'Income Statement'!AZ34/'Balance Sheet'!AY58</f>
        <v>#DIV/0!</v>
      </c>
      <c r="BA44" s="254" t="e">
        <f>'Income Statement'!BA34/'Balance Sheet'!AZ58</f>
        <v>#DIV/0!</v>
      </c>
      <c r="BB44" s="254" t="e">
        <f>'Income Statement'!BB34/'Balance Sheet'!BA58</f>
        <v>#DIV/0!</v>
      </c>
      <c r="BC44" s="254" t="e">
        <f>'Income Statement'!BC34/'Balance Sheet'!BB58</f>
        <v>#DIV/0!</v>
      </c>
      <c r="BD44" s="254" t="e">
        <f>'Income Statement'!BD34/'Balance Sheet'!BC58</f>
        <v>#DIV/0!</v>
      </c>
      <c r="BE44" s="254" t="e">
        <f>'Income Statement'!BE34/'Balance Sheet'!BD58</f>
        <v>#DIV/0!</v>
      </c>
      <c r="BF44" s="254" t="e">
        <f>'Income Statement'!BF34/'Balance Sheet'!BE58</f>
        <v>#DIV/0!</v>
      </c>
      <c r="BG44" s="254" t="e">
        <f>'Income Statement'!BG34/'Balance Sheet'!BF58</f>
        <v>#DIV/0!</v>
      </c>
      <c r="BH44" s="254" t="e">
        <f>'Income Statement'!BH34/'Balance Sheet'!BG58</f>
        <v>#DIV/0!</v>
      </c>
      <c r="BI44" s="254" t="e">
        <f>'Income Statement'!BI34/'Balance Sheet'!BH58</f>
        <v>#DIV/0!</v>
      </c>
      <c r="BJ44" s="254" t="e">
        <f>'Income Statement'!BJ34/'Balance Sheet'!BI58</f>
        <v>#DIV/0!</v>
      </c>
      <c r="BK44" s="254" t="e">
        <f>'Income Statement'!BK34/'Balance Sheet'!BJ58</f>
        <v>#DIV/0!</v>
      </c>
      <c r="BL44" s="254" t="e">
        <f>'Income Statement'!BL34/'Balance Sheet'!BK58</f>
        <v>#DIV/0!</v>
      </c>
      <c r="BM44" s="254" t="e">
        <f>'Income Statement'!BM34/'Balance Sheet'!BL58</f>
        <v>#DIV/0!</v>
      </c>
      <c r="BN44" s="254" t="e">
        <f>'Income Statement'!BN34/'Balance Sheet'!BM58</f>
        <v>#DIV/0!</v>
      </c>
      <c r="BO44" s="254" t="e">
        <f>'Income Statement'!BO34/'Balance Sheet'!BN58</f>
        <v>#DIV/0!</v>
      </c>
      <c r="BP44" s="254" t="e">
        <f>'Income Statement'!BP34/'Balance Sheet'!BO58</f>
        <v>#DIV/0!</v>
      </c>
      <c r="BQ44" s="254" t="e">
        <f>'Income Statement'!BQ34/'Balance Sheet'!BP58</f>
        <v>#DIV/0!</v>
      </c>
      <c r="BR44" s="254" t="e">
        <f>'Income Statement'!BR34/'Balance Sheet'!BQ58</f>
        <v>#DIV/0!</v>
      </c>
      <c r="BS44" s="254" t="e">
        <f>'Income Statement'!BS34/'Balance Sheet'!BR58</f>
        <v>#DIV/0!</v>
      </c>
      <c r="BT44" s="254" t="e">
        <f>'Income Statement'!BT34/'Balance Sheet'!BS58</f>
        <v>#DIV/0!</v>
      </c>
      <c r="BU44" s="254" t="e">
        <f>'Income Statement'!BU34/'Balance Sheet'!BT58</f>
        <v>#DIV/0!</v>
      </c>
      <c r="BV44" s="254" t="e">
        <f>'Income Statement'!BV34/'Balance Sheet'!BU58</f>
        <v>#DIV/0!</v>
      </c>
      <c r="BW44" s="254" t="e">
        <f>'Income Statement'!BW34/'Balance Sheet'!BV58</f>
        <v>#DIV/0!</v>
      </c>
      <c r="BX44" s="254" t="e">
        <f>'Income Statement'!BX34/'Balance Sheet'!BW58</f>
        <v>#DIV/0!</v>
      </c>
      <c r="BY44" s="254" t="e">
        <f>'Income Statement'!BY34/'Balance Sheet'!BX58</f>
        <v>#DIV/0!</v>
      </c>
      <c r="BZ44" s="254">
        <f>'Income Statement'!BZ34/'Balance Sheet'!BY58</f>
        <v>2.2467552333069697E-3</v>
      </c>
      <c r="CA44" s="254">
        <f>'Income Statement'!CA34/'Balance Sheet'!BZ58</f>
        <v>5.9572760828619491E-3</v>
      </c>
      <c r="CB44" s="254">
        <f>'Income Statement'!CB34/'Balance Sheet'!CA58</f>
        <v>4.8822053649260548E-4</v>
      </c>
      <c r="CC44" s="254">
        <f>'Income Statement'!CC34/'Balance Sheet'!CB58</f>
        <v>5.1481794048615047E-3</v>
      </c>
      <c r="CD44" s="254">
        <f>'Income Statement'!CD34/'Balance Sheet'!CC58</f>
        <v>2.0311614729317819E-3</v>
      </c>
      <c r="CE44" s="254">
        <f>'Income Statement'!CE34/'Balance Sheet'!CD58</f>
        <v>5.8855433608271434E-3</v>
      </c>
      <c r="CF44" s="254">
        <f>'Income Statement'!CF34/'Balance Sheet'!CE58</f>
        <v>-2.6872707392247611E-3</v>
      </c>
      <c r="CG44" s="254">
        <f>'Income Statement'!CG34/'Balance Sheet'!CF58</f>
        <v>3.0692533462163313E-4</v>
      </c>
      <c r="CH44" s="254">
        <f>'Income Statement'!CH34/'Balance Sheet'!CG58</f>
        <v>4.3990907919998932E-3</v>
      </c>
      <c r="CI44" s="254">
        <f>'Income Statement'!CI34/'Balance Sheet'!CH58</f>
        <v>-2.5052579567043719E-3</v>
      </c>
      <c r="CJ44" s="254">
        <f>'Income Statement'!CJ34/'Balance Sheet'!CI58</f>
        <v>9.9794714079666173E-3</v>
      </c>
      <c r="CK44" s="254">
        <f>'Income Statement'!CK34/'Balance Sheet'!CJ58</f>
        <v>3.8765741079755532E-3</v>
      </c>
      <c r="CL44" s="254">
        <f>'Income Statement'!CL34/'Balance Sheet'!CK58</f>
        <v>-6.4843078787719E-4</v>
      </c>
      <c r="CM44" s="254">
        <f>'Income Statement'!CM34/'Balance Sheet'!CL58</f>
        <v>8.8293430084460181E-3</v>
      </c>
      <c r="CN44" s="254">
        <f>'Income Statement'!CN34/'Balance Sheet'!CM58</f>
        <v>7.4967219903740367E-3</v>
      </c>
      <c r="CO44" s="254">
        <f>'Income Statement'!CO34/'Balance Sheet'!CN58</f>
        <v>-4.526673037763382E-3</v>
      </c>
      <c r="CP44" s="254">
        <f>'Income Statement'!CP34/'Balance Sheet'!CO58</f>
        <v>-1.9969832440252636E-2</v>
      </c>
      <c r="CQ44" s="254">
        <f>'Income Statement'!CQ34/'Balance Sheet'!CP58</f>
        <v>-8.6741647574744099E-4</v>
      </c>
      <c r="CR44" s="254">
        <f>'Income Statement'!CR34/'Balance Sheet'!CQ58</f>
        <v>-1.1921479027355662E-3</v>
      </c>
      <c r="CS44" s="254">
        <f>'Income Statement'!CS34/'Balance Sheet'!CR58</f>
        <v>-8.4689091143761268E-5</v>
      </c>
      <c r="CT44" s="254">
        <f>'Income Statement'!CT34/'Balance Sheet'!CS58</f>
        <v>4.8587085870356941E-5</v>
      </c>
      <c r="CU44" s="254">
        <f>'Income Statement'!CU34/'Balance Sheet'!CT58</f>
        <v>2.0324238360293855E-4</v>
      </c>
      <c r="CV44" s="254">
        <f>'Income Statement'!CV34/'Balance Sheet'!CU58</f>
        <v>-1.3053476537400969E-4</v>
      </c>
      <c r="CW44" s="254">
        <f>'Income Statement'!CW34/'Balance Sheet'!CV58</f>
        <v>1.1202153445896138E-4</v>
      </c>
      <c r="CX44" s="254">
        <f>'Income Statement'!CX34/'Balance Sheet'!CW58</f>
        <v>6.562716632467668E-4</v>
      </c>
      <c r="CY44" s="254">
        <f>'Income Statement'!CY34/'Balance Sheet'!CX58</f>
        <v>1.9859885132856214E-4</v>
      </c>
      <c r="CZ44" s="254">
        <f>'Income Statement'!CZ34/'Balance Sheet'!CY58</f>
        <v>2.9762588254983154E-4</v>
      </c>
      <c r="DA44" s="253">
        <v>0</v>
      </c>
      <c r="DB44" s="253">
        <v>0</v>
      </c>
      <c r="DC44" s="253">
        <v>0</v>
      </c>
      <c r="DD44" s="253">
        <v>0</v>
      </c>
      <c r="DE44" s="253">
        <v>0</v>
      </c>
      <c r="DF44" s="253">
        <v>0</v>
      </c>
      <c r="DG44" s="253">
        <v>0</v>
      </c>
      <c r="DH44" s="253">
        <v>0</v>
      </c>
      <c r="DI44" s="253">
        <v>0</v>
      </c>
      <c r="DJ44" s="253">
        <v>0</v>
      </c>
      <c r="DK44" s="253">
        <v>0</v>
      </c>
      <c r="DL44" s="253">
        <v>0</v>
      </c>
      <c r="DM44" s="253">
        <v>0</v>
      </c>
      <c r="DN44" s="253">
        <v>0</v>
      </c>
      <c r="DO44" s="253">
        <v>0</v>
      </c>
      <c r="DP44" s="253">
        <v>0</v>
      </c>
      <c r="DQ44" s="253">
        <v>0</v>
      </c>
      <c r="DR44" s="253">
        <v>0</v>
      </c>
      <c r="DS44" s="253">
        <v>0</v>
      </c>
      <c r="DT44" s="253">
        <v>0</v>
      </c>
      <c r="DU44" s="253">
        <v>0</v>
      </c>
      <c r="DV44" s="253">
        <v>0</v>
      </c>
      <c r="DW44" s="253">
        <v>0</v>
      </c>
      <c r="DX44" s="253">
        <v>0</v>
      </c>
    </row>
    <row r="45" spans="1:128">
      <c r="A45" s="252" t="s">
        <v>241</v>
      </c>
      <c r="B45" s="248"/>
      <c r="C45" s="248"/>
      <c r="D45" s="248"/>
      <c r="E45" s="248"/>
      <c r="F45" s="248"/>
      <c r="G45" s="248"/>
      <c r="H45" s="248"/>
      <c r="I45" s="248"/>
      <c r="J45" s="248" t="e">
        <f>-'Income Statement'!J36/('Income Statement'!J33+'Income Statement'!J34)</f>
        <v>#DIV/0!</v>
      </c>
      <c r="K45" s="248" t="e">
        <f>-'Income Statement'!K36/('Income Statement'!K33+'Income Statement'!K34)</f>
        <v>#DIV/0!</v>
      </c>
      <c r="L45" s="248" t="e">
        <f>-'Income Statement'!L36/('Income Statement'!L33+'Income Statement'!L34)</f>
        <v>#DIV/0!</v>
      </c>
      <c r="M45" s="248" t="e">
        <f>-'Income Statement'!M36/('Income Statement'!M33+'Income Statement'!M34)</f>
        <v>#DIV/0!</v>
      </c>
      <c r="N45" s="248">
        <f>-'Income Statement'!N36/('Income Statement'!N33+'Income Statement'!N34)</f>
        <v>0.21041159019875613</v>
      </c>
      <c r="O45" s="248">
        <f>-'Income Statement'!O36/('Income Statement'!O33+'Income Statement'!O34)</f>
        <v>0.22860291385581527</v>
      </c>
      <c r="P45" s="248">
        <f>-'Income Statement'!P36/('Income Statement'!P33+'Income Statement'!P34)</f>
        <v>0.22003607166746256</v>
      </c>
      <c r="Q45" s="251">
        <f>-'Income Statement'!Q36/('Income Statement'!Q33+'Income Statement'!Q34)</f>
        <v>0.2371280903567124</v>
      </c>
      <c r="R45" s="251">
        <f>-'Income Statement'!R36/('Income Statement'!R33+'Income Statement'!R34)</f>
        <v>0.33300789194305985</v>
      </c>
      <c r="S45" s="251">
        <f>-'Income Statement'!S36/('Income Statement'!S33+'Income Statement'!S34)</f>
        <v>0.27388411843959742</v>
      </c>
      <c r="T45" s="248">
        <f>-'Income Statement'!T36/('Income Statement'!T33+'Income Statement'!T34)</f>
        <v>0.27200369864552826</v>
      </c>
      <c r="U45" s="247">
        <f ca="1">-'Income Statement'!U36/('Income Statement'!U33+'Income Statement'!U34)</f>
        <v>0.26726468872725778</v>
      </c>
      <c r="V45" s="247">
        <f ca="1">-'Income Statement'!V36/('Income Statement'!V33+'Income Statement'!V34)</f>
        <v>0.24999999999999992</v>
      </c>
      <c r="W45" s="247">
        <f ca="1">-'Income Statement'!W36/('Income Statement'!W33+'Income Statement'!W34)</f>
        <v>0.23999999999999996</v>
      </c>
      <c r="X45" s="247">
        <f ca="1">-'Income Statement'!X36/('Income Statement'!X33+'Income Statement'!X34)</f>
        <v>0.24</v>
      </c>
      <c r="Y45" s="247">
        <f ca="1">-'Income Statement'!Y36/('Income Statement'!Y33+'Income Statement'!Y34)</f>
        <v>0.23999999999999982</v>
      </c>
      <c r="Z45" s="247">
        <f ca="1">-'Income Statement'!Z36/('Income Statement'!Z33+'Income Statement'!Z34)</f>
        <v>0.24000000000000002</v>
      </c>
      <c r="AA45" s="213"/>
      <c r="AB45" s="252" t="str">
        <f t="shared" si="42"/>
        <v>Provision for income tax and social contribution, % of pretax net income</v>
      </c>
      <c r="AC45" s="249" t="e">
        <f>-'Income Statement'!AC50/'Income Statement'!AC48</f>
        <v>#DIV/0!</v>
      </c>
      <c r="AD45" s="254" t="e">
        <f>-'Income Statement'!AD36/('Income Statement'!AD33+'Income Statement'!AD34)</f>
        <v>#DIV/0!</v>
      </c>
      <c r="AE45" s="254" t="e">
        <f>-'Income Statement'!AE36/('Income Statement'!AE33+'Income Statement'!AE34)</f>
        <v>#DIV/0!</v>
      </c>
      <c r="AF45" s="254" t="e">
        <f>-'Income Statement'!AF36/('Income Statement'!AF33+'Income Statement'!AF34)</f>
        <v>#DIV/0!</v>
      </c>
      <c r="AG45" s="254" t="e">
        <f>-'Income Statement'!AG36/('Income Statement'!AG33+'Income Statement'!AG34)</f>
        <v>#DIV/0!</v>
      </c>
      <c r="AH45" s="254" t="e">
        <f>-'Income Statement'!AH36/('Income Statement'!AH33+'Income Statement'!AH34)</f>
        <v>#DIV/0!</v>
      </c>
      <c r="AI45" s="254" t="e">
        <f>-'Income Statement'!AI36/('Income Statement'!AI33+'Income Statement'!AI34)</f>
        <v>#DIV/0!</v>
      </c>
      <c r="AJ45" s="254" t="e">
        <f>-'Income Statement'!AJ36/('Income Statement'!AJ33+'Income Statement'!AJ34)</f>
        <v>#DIV/0!</v>
      </c>
      <c r="AK45" s="254" t="e">
        <f>-'Income Statement'!AK36/('Income Statement'!AK33+'Income Statement'!AK34)</f>
        <v>#DIV/0!</v>
      </c>
      <c r="AL45" s="254" t="e">
        <f>-'Income Statement'!AL36/('Income Statement'!AL33+'Income Statement'!AL34)</f>
        <v>#DIV/0!</v>
      </c>
      <c r="AM45" s="254" t="e">
        <f>-'Income Statement'!AM36/('Income Statement'!AM33+'Income Statement'!AM34)</f>
        <v>#DIV/0!</v>
      </c>
      <c r="AN45" s="254" t="e">
        <f>-'Income Statement'!AN36/('Income Statement'!AN33+'Income Statement'!AN34)</f>
        <v>#DIV/0!</v>
      </c>
      <c r="AO45" s="254" t="e">
        <f>-'Income Statement'!AO36/('Income Statement'!AO33+'Income Statement'!AO34)</f>
        <v>#DIV/0!</v>
      </c>
      <c r="AP45" s="254" t="e">
        <f>-'Income Statement'!AP36/('Income Statement'!AP33+'Income Statement'!AP34)</f>
        <v>#DIV/0!</v>
      </c>
      <c r="AQ45" s="254" t="e">
        <f>-'Income Statement'!AQ36/('Income Statement'!AQ33+'Income Statement'!AQ34)</f>
        <v>#DIV/0!</v>
      </c>
      <c r="AR45" s="254" t="e">
        <f>-'Income Statement'!AR36/('Income Statement'!AR33+'Income Statement'!AR34)</f>
        <v>#DIV/0!</v>
      </c>
      <c r="AS45" s="254" t="e">
        <f>-'Income Statement'!AS36/('Income Statement'!AS33+'Income Statement'!AS34)</f>
        <v>#DIV/0!</v>
      </c>
      <c r="AT45" s="254" t="e">
        <f>-'Income Statement'!AT36/('Income Statement'!AT33+'Income Statement'!AT34)</f>
        <v>#DIV/0!</v>
      </c>
      <c r="AU45" s="254" t="e">
        <f>-'Income Statement'!AU36/('Income Statement'!AU33+'Income Statement'!AU34)</f>
        <v>#DIV/0!</v>
      </c>
      <c r="AV45" s="254" t="e">
        <f>-'Income Statement'!AV36/('Income Statement'!AV33+'Income Statement'!AV34)</f>
        <v>#DIV/0!</v>
      </c>
      <c r="AW45" s="254" t="e">
        <f>-'Income Statement'!AW36/('Income Statement'!AW33+'Income Statement'!AW34)</f>
        <v>#DIV/0!</v>
      </c>
      <c r="AX45" s="254" t="e">
        <f>-'Income Statement'!AX36/('Income Statement'!AX33+'Income Statement'!AX34)</f>
        <v>#DIV/0!</v>
      </c>
      <c r="AY45" s="254" t="e">
        <f>-'Income Statement'!AY36/('Income Statement'!AY33+'Income Statement'!AY34)</f>
        <v>#DIV/0!</v>
      </c>
      <c r="AZ45" s="254" t="e">
        <f>-'Income Statement'!AZ36/('Income Statement'!AZ33+'Income Statement'!AZ34)</f>
        <v>#DIV/0!</v>
      </c>
      <c r="BA45" s="254" t="e">
        <f>-'Income Statement'!BA36/('Income Statement'!BA33+'Income Statement'!BA34)</f>
        <v>#DIV/0!</v>
      </c>
      <c r="BB45" s="254" t="e">
        <f>-'Income Statement'!BB36/('Income Statement'!BB33+'Income Statement'!BB34)</f>
        <v>#DIV/0!</v>
      </c>
      <c r="BC45" s="254" t="e">
        <f>-'Income Statement'!BC36/('Income Statement'!BC33+'Income Statement'!BC34)</f>
        <v>#DIV/0!</v>
      </c>
      <c r="BD45" s="254" t="e">
        <f>-'Income Statement'!BD36/('Income Statement'!BD33+'Income Statement'!BD34)</f>
        <v>#DIV/0!</v>
      </c>
      <c r="BE45" s="254" t="e">
        <f>-'Income Statement'!BE36/('Income Statement'!BE33+'Income Statement'!BE34)</f>
        <v>#DIV/0!</v>
      </c>
      <c r="BF45" s="254" t="e">
        <f>-'Income Statement'!BF36/('Income Statement'!BF33+'Income Statement'!BF34)</f>
        <v>#DIV/0!</v>
      </c>
      <c r="BG45" s="254" t="e">
        <f>-'Income Statement'!BG36/('Income Statement'!BG33+'Income Statement'!BG34)</f>
        <v>#DIV/0!</v>
      </c>
      <c r="BH45" s="254" t="e">
        <f>-'Income Statement'!BH36/('Income Statement'!BH33+'Income Statement'!BH34)</f>
        <v>#DIV/0!</v>
      </c>
      <c r="BI45" s="254" t="e">
        <f>-'Income Statement'!BI36/('Income Statement'!BI33+'Income Statement'!BI34)</f>
        <v>#DIV/0!</v>
      </c>
      <c r="BJ45" s="254" t="e">
        <f>-'Income Statement'!BJ36/('Income Statement'!BJ33+'Income Statement'!BJ34)</f>
        <v>#DIV/0!</v>
      </c>
      <c r="BK45" s="254" t="e">
        <f>-'Income Statement'!BK36/('Income Statement'!BK33+'Income Statement'!BK34)</f>
        <v>#DIV/0!</v>
      </c>
      <c r="BL45" s="254" t="e">
        <f>-'Income Statement'!BL36/('Income Statement'!BL33+'Income Statement'!BL34)</f>
        <v>#DIV/0!</v>
      </c>
      <c r="BM45" s="254" t="e">
        <f>-'Income Statement'!BM36/('Income Statement'!BM33+'Income Statement'!BM34)</f>
        <v>#DIV/0!</v>
      </c>
      <c r="BN45" s="254" t="e">
        <f>-'Income Statement'!BN36/('Income Statement'!BN33+'Income Statement'!BN34)</f>
        <v>#DIV/0!</v>
      </c>
      <c r="BO45" s="254" t="e">
        <f>-'Income Statement'!BO36/('Income Statement'!BO33+'Income Statement'!BO34)</f>
        <v>#DIV/0!</v>
      </c>
      <c r="BP45" s="254" t="e">
        <f>-'Income Statement'!BP36/('Income Statement'!BP33+'Income Statement'!BP34)</f>
        <v>#DIV/0!</v>
      </c>
      <c r="BQ45" s="254" t="e">
        <f>-'Income Statement'!BQ36/('Income Statement'!BQ33+'Income Statement'!BQ34)</f>
        <v>#DIV/0!</v>
      </c>
      <c r="BR45" s="254" t="e">
        <f>-'Income Statement'!BR36/('Income Statement'!BR33+'Income Statement'!BR34)</f>
        <v>#DIV/0!</v>
      </c>
      <c r="BS45" s="254" t="e">
        <f>-'Income Statement'!BS36/('Income Statement'!BS33+'Income Statement'!BS34)</f>
        <v>#DIV/0!</v>
      </c>
      <c r="BT45" s="254" t="e">
        <f>-'Income Statement'!BT36/('Income Statement'!BT33+'Income Statement'!BT34)</f>
        <v>#DIV/0!</v>
      </c>
      <c r="BU45" s="254" t="e">
        <f>-'Income Statement'!BU36/('Income Statement'!BU33+'Income Statement'!BU34)</f>
        <v>#DIV/0!</v>
      </c>
      <c r="BV45" s="254" t="e">
        <f>-'Income Statement'!BV36/('Income Statement'!BV33+'Income Statement'!BV34)</f>
        <v>#DIV/0!</v>
      </c>
      <c r="BW45" s="254" t="e">
        <f>-'Income Statement'!BW36/('Income Statement'!BW33+'Income Statement'!BW34)</f>
        <v>#DIV/0!</v>
      </c>
      <c r="BX45" s="254" t="e">
        <f>-'Income Statement'!BX36/('Income Statement'!BX33+'Income Statement'!BX34)</f>
        <v>#DIV/0!</v>
      </c>
      <c r="BY45" s="254">
        <f>-'Income Statement'!BY36/('Income Statement'!BY33+'Income Statement'!BY34)</f>
        <v>0.21638149621587977</v>
      </c>
      <c r="BZ45" s="254">
        <f>-'Income Statement'!BZ36/('Income Statement'!BZ33+'Income Statement'!BZ34)</f>
        <v>0.2609345185323797</v>
      </c>
      <c r="CA45" s="254">
        <f>-'Income Statement'!CA36/('Income Statement'!CA33+'Income Statement'!CA34)</f>
        <v>0.22588268855255858</v>
      </c>
      <c r="CB45" s="254">
        <f>-'Income Statement'!CB36/('Income Statement'!CB33+'Income Statement'!CB34)</f>
        <v>0.12593633624438647</v>
      </c>
      <c r="CC45" s="254">
        <f>-'Income Statement'!CC36/('Income Statement'!CC33+'Income Statement'!CC34)</f>
        <v>0.22264897980622705</v>
      </c>
      <c r="CD45" s="254">
        <f>-'Income Statement'!CD36/('Income Statement'!CD33+'Income Statement'!CD34)</f>
        <v>0.23843400500714498</v>
      </c>
      <c r="CE45" s="254">
        <f>-'Income Statement'!CE36/('Income Statement'!CE33+'Income Statement'!CE34)</f>
        <v>0.24041517935206547</v>
      </c>
      <c r="CF45" s="254">
        <f>-'Income Statement'!CF36/('Income Statement'!CF33+'Income Statement'!CF34)</f>
        <v>0.20558448578685973</v>
      </c>
      <c r="CG45" s="254">
        <f>-'Income Statement'!CG36/('Income Statement'!CG33+'Income Statement'!CG34)</f>
        <v>0.25381992413109222</v>
      </c>
      <c r="CH45" s="254">
        <f>-'Income Statement'!CH36/('Income Statement'!CH33+'Income Statement'!CH34)</f>
        <v>0.19533655360425839</v>
      </c>
      <c r="CI45" s="254">
        <f>-'Income Statement'!CI36/('Income Statement'!CI33+'Income Statement'!CI34)</f>
        <v>0.25172632199989947</v>
      </c>
      <c r="CJ45" s="254">
        <f>-'Income Statement'!CJ36/('Income Statement'!CJ33+'Income Statement'!CJ34)</f>
        <v>0.17819347730559293</v>
      </c>
      <c r="CK45" s="254">
        <f>-'Income Statement'!CK36/('Income Statement'!CK33+'Income Statement'!CK34)</f>
        <v>0.23754733601909025</v>
      </c>
      <c r="CL45" s="254">
        <f>-'Income Statement'!CL36/('Income Statement'!CL33+'Income Statement'!CL34)</f>
        <v>0.24899145963730729</v>
      </c>
      <c r="CM45" s="254">
        <f>-'Income Statement'!CM36/('Income Statement'!CM33+'Income Statement'!CM34)</f>
        <v>0.23416309049523046</v>
      </c>
      <c r="CN45" s="254">
        <f>-'Income Statement'!CN36/('Income Statement'!CN33+'Income Statement'!CN34)</f>
        <v>0.22934201056075249</v>
      </c>
      <c r="CO45" s="254">
        <f>-'Income Statement'!CO36/('Income Statement'!CO33+'Income Statement'!CO34)</f>
        <v>0.2807506747320464</v>
      </c>
      <c r="CP45" s="254">
        <f>-'Income Statement'!CP36/('Income Statement'!CP33+'Income Statement'!CP34)</f>
        <v>0.5680011538606653</v>
      </c>
      <c r="CQ45" s="254">
        <f>-'Income Statement'!CQ36/('Income Statement'!CQ33+'Income Statement'!CQ34)</f>
        <v>0.28956258796761181</v>
      </c>
      <c r="CR45" s="254">
        <f>-'Income Statement'!CR36/('Income Statement'!CR33+'Income Statement'!CR34)</f>
        <v>0.31031120837995985</v>
      </c>
      <c r="CS45" s="254">
        <f>-'Income Statement'!CS36/('Income Statement'!CS33+'Income Statement'!CS34)</f>
        <v>0.25538605320086338</v>
      </c>
      <c r="CT45" s="254">
        <f>-'Income Statement'!CT36/('Income Statement'!CT33+'Income Statement'!CT34)</f>
        <v>0.25469599389527009</v>
      </c>
      <c r="CU45" s="254">
        <f>-'Income Statement'!CU36/('Income Statement'!CU33+'Income Statement'!CU34)</f>
        <v>0.29490436309893547</v>
      </c>
      <c r="CV45" s="254">
        <f>-'Income Statement'!CV36/('Income Statement'!CV33+'Income Statement'!CV34)</f>
        <v>0.28772081265221816</v>
      </c>
      <c r="CW45" s="254">
        <f>-'Income Statement'!CW36/('Income Statement'!CW33+'Income Statement'!CW34)</f>
        <v>0.27081258390935775</v>
      </c>
      <c r="CX45" s="254">
        <f>-'Income Statement'!CX36/('Income Statement'!CX33+'Income Statement'!CX34)</f>
        <v>0.27335405134793039</v>
      </c>
      <c r="CY45" s="254">
        <f>-'Income Statement'!CY36/('Income Statement'!CY33+'Income Statement'!CY34)</f>
        <v>0.26556695519284779</v>
      </c>
      <c r="CZ45" s="254">
        <f>-'Income Statement'!CZ36/('Income Statement'!CZ33+'Income Statement'!CZ34)</f>
        <v>0.27824500507561972</v>
      </c>
      <c r="DA45" s="253">
        <v>0.27500000000000002</v>
      </c>
      <c r="DB45" s="253">
        <v>0.27</v>
      </c>
      <c r="DC45" s="253">
        <v>0.26500000000000001</v>
      </c>
      <c r="DD45" s="253">
        <v>0.26</v>
      </c>
      <c r="DE45" s="253">
        <v>0.25</v>
      </c>
      <c r="DF45" s="253">
        <v>0.25</v>
      </c>
      <c r="DG45" s="253">
        <v>0.25</v>
      </c>
      <c r="DH45" s="253">
        <v>0.25</v>
      </c>
      <c r="DI45" s="253">
        <v>0.24</v>
      </c>
      <c r="DJ45" s="253">
        <v>0.24</v>
      </c>
      <c r="DK45" s="253">
        <v>0.24</v>
      </c>
      <c r="DL45" s="253">
        <v>0.24</v>
      </c>
      <c r="DM45" s="253">
        <v>0.24</v>
      </c>
      <c r="DN45" s="253">
        <v>0.24</v>
      </c>
      <c r="DO45" s="253">
        <v>0.24</v>
      </c>
      <c r="DP45" s="253">
        <v>0.24</v>
      </c>
      <c r="DQ45" s="253">
        <v>0.24</v>
      </c>
      <c r="DR45" s="253">
        <v>0.24</v>
      </c>
      <c r="DS45" s="253">
        <v>0.24</v>
      </c>
      <c r="DT45" s="253">
        <v>0.24</v>
      </c>
      <c r="DU45" s="253">
        <v>0.24</v>
      </c>
      <c r="DV45" s="253">
        <v>0.24</v>
      </c>
      <c r="DW45" s="253">
        <v>0.24</v>
      </c>
      <c r="DX45" s="253">
        <v>0.24</v>
      </c>
    </row>
    <row r="46" spans="1:128">
      <c r="A46" s="252" t="s">
        <v>240</v>
      </c>
      <c r="B46" s="254"/>
      <c r="C46" s="254"/>
      <c r="D46" s="254"/>
      <c r="E46" s="254"/>
      <c r="F46" s="254"/>
      <c r="G46" s="254"/>
      <c r="H46" s="254"/>
      <c r="I46" s="254"/>
      <c r="J46" s="254" t="e">
        <f>-'Income Statement'!J38/('Income Statement'!J33*(1-J45))</f>
        <v>#DIV/0!</v>
      </c>
      <c r="K46" s="254" t="e">
        <f>-'Income Statement'!K38/('Income Statement'!K33*(1-K45))</f>
        <v>#DIV/0!</v>
      </c>
      <c r="L46" s="254" t="e">
        <f>-'Income Statement'!L38/('Income Statement'!L33*(1-L45))</f>
        <v>#DIV/0!</v>
      </c>
      <c r="M46" s="254" t="e">
        <f>-'Income Statement'!M38/('Income Statement'!M33*(1-M45))</f>
        <v>#DIV/0!</v>
      </c>
      <c r="N46" s="254">
        <f>-'Income Statement'!N38/('Income Statement'!N33*(1-N45))</f>
        <v>6.7154187334577606E-2</v>
      </c>
      <c r="O46" s="254">
        <f>-'Income Statement'!O38/('Income Statement'!O33*(1-O45))</f>
        <v>5.2315508624727711E-2</v>
      </c>
      <c r="P46" s="254">
        <f>-'Income Statement'!P38/('Income Statement'!P33*(1-P45))</f>
        <v>2.0258477629724009E-2</v>
      </c>
      <c r="Q46" s="251">
        <f>-'Income Statement'!Q38/('Income Statement'!Q33*(1-Q45))</f>
        <v>2.5661574922759379E-2</v>
      </c>
      <c r="R46" s="251">
        <f>-'Income Statement'!R38/('Income Statement'!R33*(1-R45))</f>
        <v>1.0779486586137383E-2</v>
      </c>
      <c r="S46" s="251">
        <f>-'Income Statement'!S38/('Income Statement'!S33*(1-S45))</f>
        <v>1.3599037341295616E-2</v>
      </c>
      <c r="T46" s="248">
        <f>-'Income Statement'!T38/('Income Statement'!T33*(1-T45))</f>
        <v>2.2713477732052928E-2</v>
      </c>
      <c r="U46" s="247">
        <f ca="1">-'Income Statement'!U38/('Income Statement'!U33*(1-U45))</f>
        <v>2.5000000000000005E-2</v>
      </c>
      <c r="V46" s="247">
        <f ca="1">-'Income Statement'!V38/('Income Statement'!V33*(1-V45))</f>
        <v>2.4999999999999988E-2</v>
      </c>
      <c r="W46" s="247">
        <f ca="1">-'Income Statement'!W38/('Income Statement'!W33*(1-W45))</f>
        <v>2.5000000000000001E-2</v>
      </c>
      <c r="X46" s="247">
        <f ca="1">-'Income Statement'!X38/('Income Statement'!X33*(1-X45))</f>
        <v>2.5000000000000001E-2</v>
      </c>
      <c r="Y46" s="247">
        <f ca="1">-'Income Statement'!Y38/('Income Statement'!Y33*(1-Y45))</f>
        <v>2.4999999999999981E-2</v>
      </c>
      <c r="Z46" s="247">
        <f ca="1">-'Income Statement'!Z38/('Income Statement'!Z33*(1-Z45))</f>
        <v>2.5000000000000008E-2</v>
      </c>
      <c r="AA46" s="213"/>
      <c r="AB46" s="252" t="str">
        <f t="shared" si="42"/>
        <v>Minority interest , % of tax adjusted operating income</v>
      </c>
      <c r="AC46" s="249" t="e">
        <f>+'Income Statement'!AC61/'Income Statement'!AC59</f>
        <v>#DIV/0!</v>
      </c>
      <c r="AD46" s="254" t="e">
        <f>-'Income Statement'!AD38/('Income Statement'!AD33*(1-AD45))</f>
        <v>#DIV/0!</v>
      </c>
      <c r="AE46" s="254" t="e">
        <f>-'Income Statement'!AE38/('Income Statement'!AE33*(1-AE45))</f>
        <v>#DIV/0!</v>
      </c>
      <c r="AF46" s="254" t="e">
        <f>-'Income Statement'!AF38/('Income Statement'!AF33*(1-AF45))</f>
        <v>#DIV/0!</v>
      </c>
      <c r="AG46" s="254" t="e">
        <f>-'Income Statement'!AG38/('Income Statement'!AG33*(1-AG45))</f>
        <v>#DIV/0!</v>
      </c>
      <c r="AH46" s="254" t="e">
        <f>-'Income Statement'!AH38/('Income Statement'!AH33*(1-AH45))</f>
        <v>#DIV/0!</v>
      </c>
      <c r="AI46" s="254" t="e">
        <f>-'Income Statement'!AI38/('Income Statement'!AI33*(1-AI45))</f>
        <v>#DIV/0!</v>
      </c>
      <c r="AJ46" s="254" t="e">
        <f>-'Income Statement'!AJ38/('Income Statement'!AJ33*(1-AJ45))</f>
        <v>#DIV/0!</v>
      </c>
      <c r="AK46" s="254" t="e">
        <f>-'Income Statement'!AK38/('Income Statement'!AK33*(1-AK45))</f>
        <v>#DIV/0!</v>
      </c>
      <c r="AL46" s="254" t="e">
        <f>-'Income Statement'!AL38/('Income Statement'!AL33*(1-AL45))</f>
        <v>#DIV/0!</v>
      </c>
      <c r="AM46" s="254" t="e">
        <f>-'Income Statement'!AM38/('Income Statement'!AM33*(1-AM45))</f>
        <v>#DIV/0!</v>
      </c>
      <c r="AN46" s="254" t="e">
        <f>-'Income Statement'!AN38/('Income Statement'!AN33*(1-AN45))</f>
        <v>#DIV/0!</v>
      </c>
      <c r="AO46" s="254" t="e">
        <f>-'Income Statement'!AO38/('Income Statement'!AO33*(1-AO45))</f>
        <v>#DIV/0!</v>
      </c>
      <c r="AP46" s="254" t="e">
        <f>-'Income Statement'!AP38/('Income Statement'!AP33*(1-AP45))</f>
        <v>#DIV/0!</v>
      </c>
      <c r="AQ46" s="254" t="e">
        <f>-'Income Statement'!AQ38/('Income Statement'!AQ33*(1-AQ45))</f>
        <v>#DIV/0!</v>
      </c>
      <c r="AR46" s="254" t="e">
        <f>-'Income Statement'!AR38/('Income Statement'!AR33*(1-AR45))</f>
        <v>#DIV/0!</v>
      </c>
      <c r="AS46" s="254" t="e">
        <f>-'Income Statement'!AS38/('Income Statement'!AS33*(1-AS45))</f>
        <v>#DIV/0!</v>
      </c>
      <c r="AT46" s="254" t="e">
        <f>-'Income Statement'!AT38/('Income Statement'!AT33*(1-AT45))</f>
        <v>#DIV/0!</v>
      </c>
      <c r="AU46" s="254" t="e">
        <f>-'Income Statement'!AU38/('Income Statement'!AU33*(1-AU45))</f>
        <v>#DIV/0!</v>
      </c>
      <c r="AV46" s="254" t="e">
        <f>-'Income Statement'!AV38/('Income Statement'!AV33*(1-AV45))</f>
        <v>#DIV/0!</v>
      </c>
      <c r="AW46" s="254" t="e">
        <f>-'Income Statement'!AW38/('Income Statement'!AW33*(1-AW45))</f>
        <v>#DIV/0!</v>
      </c>
      <c r="AX46" s="254" t="e">
        <f>-'Income Statement'!AX38/('Income Statement'!AX33*(1-AX45))</f>
        <v>#DIV/0!</v>
      </c>
      <c r="AY46" s="254" t="e">
        <f>-'Income Statement'!AY38/('Income Statement'!AY33*(1-AY45))</f>
        <v>#DIV/0!</v>
      </c>
      <c r="AZ46" s="254" t="e">
        <f>-'Income Statement'!AZ38/('Income Statement'!AZ33*(1-AZ45))</f>
        <v>#DIV/0!</v>
      </c>
      <c r="BA46" s="254" t="e">
        <f>-'Income Statement'!BA38/('Income Statement'!BA33*(1-BA45))</f>
        <v>#DIV/0!</v>
      </c>
      <c r="BB46" s="254" t="e">
        <f>-'Income Statement'!BB38/('Income Statement'!BB33*(1-BB45))</f>
        <v>#DIV/0!</v>
      </c>
      <c r="BC46" s="254" t="e">
        <f>-'Income Statement'!BC38/('Income Statement'!BC33*(1-BC45))</f>
        <v>#DIV/0!</v>
      </c>
      <c r="BD46" s="254" t="e">
        <f>-'Income Statement'!BD38/('Income Statement'!BD33*(1-BD45))</f>
        <v>#DIV/0!</v>
      </c>
      <c r="BE46" s="254" t="e">
        <f>-'Income Statement'!BE38/('Income Statement'!BE33*(1-BE45))</f>
        <v>#DIV/0!</v>
      </c>
      <c r="BF46" s="254" t="e">
        <f>-'Income Statement'!BF38/('Income Statement'!BF33*(1-BF45))</f>
        <v>#DIV/0!</v>
      </c>
      <c r="BG46" s="254" t="e">
        <f>-'Income Statement'!BG38/('Income Statement'!BG33*(1-BG45))</f>
        <v>#DIV/0!</v>
      </c>
      <c r="BH46" s="254" t="e">
        <f>-'Income Statement'!BH38/('Income Statement'!BH33*(1-BH45))</f>
        <v>#DIV/0!</v>
      </c>
      <c r="BI46" s="254" t="e">
        <f>-'Income Statement'!BI38/('Income Statement'!BI33*(1-BI45))</f>
        <v>#DIV/0!</v>
      </c>
      <c r="BJ46" s="254" t="e">
        <f>-'Income Statement'!BJ38/('Income Statement'!BJ33*(1-BJ45))</f>
        <v>#DIV/0!</v>
      </c>
      <c r="BK46" s="254" t="e">
        <f>-'Income Statement'!BK38/('Income Statement'!BK33*(1-BK45))</f>
        <v>#DIV/0!</v>
      </c>
      <c r="BL46" s="254" t="e">
        <f>-'Income Statement'!BL38/('Income Statement'!BL33*(1-BL45))</f>
        <v>#DIV/0!</v>
      </c>
      <c r="BM46" s="254" t="e">
        <f>-'Income Statement'!BM38/('Income Statement'!BM33*(1-BM45))</f>
        <v>#DIV/0!</v>
      </c>
      <c r="BN46" s="254" t="e">
        <f>-'Income Statement'!BN38/('Income Statement'!BN33*(1-BN45))</f>
        <v>#DIV/0!</v>
      </c>
      <c r="BO46" s="254" t="e">
        <f>-'Income Statement'!BO38/('Income Statement'!BO33*(1-BO45))</f>
        <v>#DIV/0!</v>
      </c>
      <c r="BP46" s="254" t="e">
        <f>-'Income Statement'!BP38/('Income Statement'!BP33*(1-BP45))</f>
        <v>#DIV/0!</v>
      </c>
      <c r="BQ46" s="254" t="e">
        <f>-'Income Statement'!BQ38/('Income Statement'!BQ33*(1-BQ45))</f>
        <v>#DIV/0!</v>
      </c>
      <c r="BR46" s="254" t="e">
        <f>-'Income Statement'!BR38/('Income Statement'!BR33*(1-BR45))</f>
        <v>#DIV/0!</v>
      </c>
      <c r="BS46" s="254" t="e">
        <f>-'Income Statement'!BS38/('Income Statement'!BS33*(1-BS45))</f>
        <v>#DIV/0!</v>
      </c>
      <c r="BT46" s="254" t="e">
        <f>-'Income Statement'!BT38/('Income Statement'!BT33*(1-BT45))</f>
        <v>#DIV/0!</v>
      </c>
      <c r="BU46" s="254" t="e">
        <f>-'Income Statement'!BU38/('Income Statement'!BU33*(1-BU45))</f>
        <v>#DIV/0!</v>
      </c>
      <c r="BV46" s="254" t="e">
        <f>-'Income Statement'!BV38/('Income Statement'!BV33*(1-BV45))</f>
        <v>#DIV/0!</v>
      </c>
      <c r="BW46" s="254" t="e">
        <f>-'Income Statement'!BW38/('Income Statement'!BW33*(1-BW45))</f>
        <v>#DIV/0!</v>
      </c>
      <c r="BX46" s="254" t="e">
        <f>-'Income Statement'!BX38/('Income Statement'!BX33*(1-BX45))</f>
        <v>#DIV/0!</v>
      </c>
      <c r="BY46" s="254">
        <f>-'Income Statement'!BY38/('Income Statement'!BY33*(1-BY45))</f>
        <v>5.468661955330327E-2</v>
      </c>
      <c r="BZ46" s="254">
        <f>-'Income Statement'!BZ38/('Income Statement'!BZ33*(1-BZ45))</f>
        <v>6.7836098071099402E-2</v>
      </c>
      <c r="CA46" s="254">
        <f>-'Income Statement'!CA38/('Income Statement'!CA33*(1-CA45))</f>
        <v>6.6694171210927272E-2</v>
      </c>
      <c r="CB46" s="254">
        <f>-'Income Statement'!CB38/('Income Statement'!CB33*(1-CB45))</f>
        <v>7.9747362474485758E-2</v>
      </c>
      <c r="CC46" s="254">
        <f>-'Income Statement'!CC38/('Income Statement'!CC33*(1-CC45))</f>
        <v>6.4682771488837859E-2</v>
      </c>
      <c r="CD46" s="254">
        <f>-'Income Statement'!CD38/('Income Statement'!CD33*(1-CD45))</f>
        <v>6.4000574689487971E-2</v>
      </c>
      <c r="CE46" s="254">
        <f>-'Income Statement'!CE38/('Income Statement'!CE33*(1-CE45))</f>
        <v>5.755291728043601E-2</v>
      </c>
      <c r="CF46" s="254">
        <f>-'Income Statement'!CF38/('Income Statement'!CF33*(1-CF45))</f>
        <v>2.0429006274216354E-2</v>
      </c>
      <c r="CG46" s="254">
        <f>-'Income Statement'!CG38/('Income Statement'!CG33*(1-CG45))</f>
        <v>1.9540810699530117E-2</v>
      </c>
      <c r="CH46" s="254">
        <f>-'Income Statement'!CH38/('Income Statement'!CH33*(1-CH45))</f>
        <v>2.3911633288970117E-2</v>
      </c>
      <c r="CI46" s="254">
        <f>-'Income Statement'!CI38/('Income Statement'!CI33*(1-CI45))</f>
        <v>2.0769984167128011E-2</v>
      </c>
      <c r="CJ46" s="254">
        <f>-'Income Statement'!CJ38/('Income Statement'!CJ33*(1-CJ45))</f>
        <v>1.7080005501104358E-2</v>
      </c>
      <c r="CK46" s="254">
        <f>-'Income Statement'!CK38/('Income Statement'!CK33*(1-CK45))</f>
        <v>2.0253396659063273E-2</v>
      </c>
      <c r="CL46" s="254">
        <f>-'Income Statement'!CL38/('Income Statement'!CL33*(1-CL45))</f>
        <v>1.6989477490087241E-2</v>
      </c>
      <c r="CM46" s="254">
        <f>-'Income Statement'!CM38/('Income Statement'!CM33*(1-CM45))</f>
        <v>2.73101370804191E-2</v>
      </c>
      <c r="CN46" s="254">
        <f>-'Income Statement'!CN38/('Income Statement'!CN33*(1-CN45))</f>
        <v>3.8165967930144921E-2</v>
      </c>
      <c r="CO46" s="254">
        <f>-'Income Statement'!CO38/('Income Statement'!CO33*(1-CO45))</f>
        <v>1.9563486104459092E-2</v>
      </c>
      <c r="CP46" s="254">
        <f>-'Income Statement'!CP38/('Income Statement'!CP33*(1-CP45))</f>
        <v>3.6153329767495339E-3</v>
      </c>
      <c r="CQ46" s="254">
        <f>-'Income Statement'!CQ38/('Income Statement'!CQ33*(1-CQ45))</f>
        <v>2.2056693303825186E-2</v>
      </c>
      <c r="CR46" s="254">
        <f>-'Income Statement'!CR38/('Income Statement'!CR33*(1-CR45))</f>
        <v>-8.257073505288981E-3</v>
      </c>
      <c r="CS46" s="254">
        <f>-'Income Statement'!CS38/('Income Statement'!CS33*(1-CS45))</f>
        <v>2.7622963633396502E-2</v>
      </c>
      <c r="CT46" s="254">
        <f>-'Income Statement'!CT38/('Income Statement'!CT33*(1-CT45))</f>
        <v>2.503441863886503E-2</v>
      </c>
      <c r="CU46" s="254">
        <f>-'Income Statement'!CU38/('Income Statement'!CU33*(1-CU45))</f>
        <v>1.9710889607255918E-2</v>
      </c>
      <c r="CV46" s="254">
        <f>-'Income Statement'!CV38/('Income Statement'!CV33*(1-CV45))</f>
        <v>-2.0217596102550171E-2</v>
      </c>
      <c r="CW46" s="254">
        <f>-'Income Statement'!CW38/('Income Statement'!CW33*(1-CW45))</f>
        <v>3.4176689560625188E-2</v>
      </c>
      <c r="CX46" s="254">
        <f>-'Income Statement'!CX38/('Income Statement'!CX33*(1-CX45))</f>
        <v>2.6198178700441097E-2</v>
      </c>
      <c r="CY46" s="254">
        <f>-'Income Statement'!CY38/('Income Statement'!CY33*(1-CY45))</f>
        <v>2.7122374483260908E-2</v>
      </c>
      <c r="CZ46" s="254">
        <f>-'Income Statement'!CZ38/('Income Statement'!CZ33*(1-CZ45))</f>
        <v>2.4369228650400455E-3</v>
      </c>
      <c r="DA46" s="253">
        <v>2.5000000000000001E-2</v>
      </c>
      <c r="DB46" s="253">
        <v>2.5000000000000001E-2</v>
      </c>
      <c r="DC46" s="253">
        <v>2.5000000000000001E-2</v>
      </c>
      <c r="DD46" s="253">
        <v>2.5000000000000001E-2</v>
      </c>
      <c r="DE46" s="253">
        <v>2.5000000000000001E-2</v>
      </c>
      <c r="DF46" s="253">
        <v>2.5000000000000001E-2</v>
      </c>
      <c r="DG46" s="253">
        <v>2.5000000000000001E-2</v>
      </c>
      <c r="DH46" s="253">
        <v>2.5000000000000001E-2</v>
      </c>
      <c r="DI46" s="253">
        <v>2.5000000000000001E-2</v>
      </c>
      <c r="DJ46" s="253">
        <v>2.5000000000000001E-2</v>
      </c>
      <c r="DK46" s="253">
        <v>2.5000000000000001E-2</v>
      </c>
      <c r="DL46" s="253">
        <v>2.5000000000000001E-2</v>
      </c>
      <c r="DM46" s="253">
        <v>2.5000000000000001E-2</v>
      </c>
      <c r="DN46" s="253">
        <v>2.5000000000000001E-2</v>
      </c>
      <c r="DO46" s="253">
        <v>2.5000000000000001E-2</v>
      </c>
      <c r="DP46" s="253">
        <v>2.5000000000000001E-2</v>
      </c>
      <c r="DQ46" s="253">
        <v>2.5000000000000001E-2</v>
      </c>
      <c r="DR46" s="253">
        <v>2.5000000000000001E-2</v>
      </c>
      <c r="DS46" s="253">
        <v>2.5000000000000001E-2</v>
      </c>
      <c r="DT46" s="253">
        <v>2.5000000000000001E-2</v>
      </c>
      <c r="DU46" s="253">
        <v>2.5000000000000001E-2</v>
      </c>
      <c r="DV46" s="253">
        <v>2.5000000000000001E-2</v>
      </c>
      <c r="DW46" s="253">
        <v>2.5000000000000001E-2</v>
      </c>
      <c r="DX46" s="253">
        <v>2.5000000000000001E-2</v>
      </c>
    </row>
    <row r="47" spans="1:128">
      <c r="A47" s="252" t="s">
        <v>239</v>
      </c>
      <c r="B47" s="248"/>
      <c r="C47" s="248"/>
      <c r="D47" s="248"/>
      <c r="E47" s="248"/>
      <c r="F47" s="248"/>
      <c r="G47" s="248"/>
      <c r="H47" s="248"/>
      <c r="I47" s="248"/>
      <c r="J47" s="248" t="e">
        <f>-'Income Statement'!J35/('Income Statement'!J33*(1-J45))</f>
        <v>#DIV/0!</v>
      </c>
      <c r="K47" s="248" t="e">
        <f>-'Income Statement'!K35/('Income Statement'!K33*(1-K45))</f>
        <v>#DIV/0!</v>
      </c>
      <c r="L47" s="248" t="e">
        <f>-'Income Statement'!L35/('Income Statement'!L33*(1-L45))</f>
        <v>#DIV/0!</v>
      </c>
      <c r="M47" s="248" t="e">
        <f>-'Income Statement'!M35/('Income Statement'!M33*(1-M45))</f>
        <v>#DIV/0!</v>
      </c>
      <c r="N47" s="248">
        <f>-'Income Statement'!N35/('Income Statement'!N33*(1-N45))</f>
        <v>3.6122179353299463E-2</v>
      </c>
      <c r="O47" s="248">
        <f>-'Income Statement'!O35/('Income Statement'!O33*(1-O45))</f>
        <v>4.5436202755880284E-2</v>
      </c>
      <c r="P47" s="248">
        <f>-'Income Statement'!P35/('Income Statement'!P33*(1-P45))</f>
        <v>0</v>
      </c>
      <c r="Q47" s="251">
        <f>-'Income Statement'!Q35/('Income Statement'!Q33*(1-Q45))</f>
        <v>0</v>
      </c>
      <c r="R47" s="251">
        <f>-'Income Statement'!R35/('Income Statement'!R33*(1-R45))</f>
        <v>0</v>
      </c>
      <c r="S47" s="251">
        <f>-'Income Statement'!S35/('Income Statement'!S33*(1-S45))</f>
        <v>0</v>
      </c>
      <c r="T47" s="248">
        <f>-'Income Statement'!T35/('Income Statement'!T33*(1-T45))</f>
        <v>0</v>
      </c>
      <c r="U47" s="247">
        <f ca="1">-'Income Statement'!U35/('Income Statement'!U33*(1-U45))</f>
        <v>0</v>
      </c>
      <c r="V47" s="247">
        <f ca="1">-'Income Statement'!V35/('Income Statement'!V33*(1-V45))</f>
        <v>0</v>
      </c>
      <c r="W47" s="247">
        <f ca="1">-'Income Statement'!W35/('Income Statement'!W33*(1-W45))</f>
        <v>0</v>
      </c>
      <c r="X47" s="247">
        <f ca="1">-'Income Statement'!X35/('Income Statement'!X33*(1-X45))</f>
        <v>0</v>
      </c>
      <c r="Y47" s="247">
        <f ca="1">-'Income Statement'!Y35/('Income Statement'!Y33*(1-Y45))</f>
        <v>0</v>
      </c>
      <c r="Z47" s="247">
        <f ca="1">-'Income Statement'!Z35/('Income Statement'!Z33*(1-Z45))</f>
        <v>0</v>
      </c>
      <c r="AA47" s="213"/>
      <c r="AB47" s="252" t="str">
        <f t="shared" si="42"/>
        <v>Employee profit sharing, % of tax adjusted operating income</v>
      </c>
      <c r="AC47" s="249" t="e">
        <f>-'Income Statement'!AC57/'Income Statement'!AC48</f>
        <v>#DIV/0!</v>
      </c>
      <c r="AD47" s="248" t="e">
        <f>-'Income Statement'!AD35/('Income Statement'!AD33*(1-AD45))</f>
        <v>#DIV/0!</v>
      </c>
      <c r="AE47" s="248" t="e">
        <f>-'Income Statement'!AE35/('Income Statement'!AE33*(1-AE45))</f>
        <v>#DIV/0!</v>
      </c>
      <c r="AF47" s="248" t="e">
        <f>-'Income Statement'!AF35/('Income Statement'!AF33*(1-AF45))</f>
        <v>#DIV/0!</v>
      </c>
      <c r="AG47" s="248" t="e">
        <f>-'Income Statement'!AG35/('Income Statement'!AG33*(1-AG45))</f>
        <v>#DIV/0!</v>
      </c>
      <c r="AH47" s="248" t="e">
        <f>-'Income Statement'!AH35/('Income Statement'!AH33*(1-AH45))</f>
        <v>#DIV/0!</v>
      </c>
      <c r="AI47" s="248" t="e">
        <f>-'Income Statement'!AI35/('Income Statement'!AI33*(1-AI45))</f>
        <v>#DIV/0!</v>
      </c>
      <c r="AJ47" s="248" t="e">
        <f>-'Income Statement'!AJ35/('Income Statement'!AJ33*(1-AJ45))</f>
        <v>#DIV/0!</v>
      </c>
      <c r="AK47" s="248" t="e">
        <f>-'Income Statement'!AK35/('Income Statement'!AK33*(1-AK45))</f>
        <v>#DIV/0!</v>
      </c>
      <c r="AL47" s="248" t="e">
        <f>-'Income Statement'!AL35/('Income Statement'!AL33*(1-AL45))</f>
        <v>#DIV/0!</v>
      </c>
      <c r="AM47" s="248" t="e">
        <f>-'Income Statement'!AM35/('Income Statement'!AM33*(1-AM45))</f>
        <v>#DIV/0!</v>
      </c>
      <c r="AN47" s="248" t="e">
        <f>-'Income Statement'!AN35/('Income Statement'!AN33*(1-AN45))</f>
        <v>#DIV/0!</v>
      </c>
      <c r="AO47" s="248" t="e">
        <f>-'Income Statement'!AO35/('Income Statement'!AO33*(1-AO45))</f>
        <v>#DIV/0!</v>
      </c>
      <c r="AP47" s="248" t="e">
        <f>-'Income Statement'!AP35/('Income Statement'!AP33*(1-AP45))</f>
        <v>#DIV/0!</v>
      </c>
      <c r="AQ47" s="248" t="e">
        <f>-'Income Statement'!AQ35/('Income Statement'!AQ33*(1-AQ45))</f>
        <v>#DIV/0!</v>
      </c>
      <c r="AR47" s="248" t="e">
        <f>-'Income Statement'!AR35/('Income Statement'!AR33*(1-AR45))</f>
        <v>#DIV/0!</v>
      </c>
      <c r="AS47" s="248" t="e">
        <f>-'Income Statement'!AS35/('Income Statement'!AS33*(1-AS45))</f>
        <v>#DIV/0!</v>
      </c>
      <c r="AT47" s="248" t="e">
        <f>-'Income Statement'!AT35/('Income Statement'!AT33*(1-AT45))</f>
        <v>#DIV/0!</v>
      </c>
      <c r="AU47" s="248" t="e">
        <f>-'Income Statement'!AU35/('Income Statement'!AU33*(1-AU45))</f>
        <v>#DIV/0!</v>
      </c>
      <c r="AV47" s="248" t="e">
        <f>-'Income Statement'!AV35/('Income Statement'!AV33*(1-AV45))</f>
        <v>#DIV/0!</v>
      </c>
      <c r="AW47" s="248" t="e">
        <f>-'Income Statement'!AW35/('Income Statement'!AW33*(1-AW45))</f>
        <v>#DIV/0!</v>
      </c>
      <c r="AX47" s="248" t="e">
        <f>-'Income Statement'!AX35/('Income Statement'!AX33*(1-AX45))</f>
        <v>#DIV/0!</v>
      </c>
      <c r="AY47" s="248" t="e">
        <f>-'Income Statement'!AY35/('Income Statement'!AY33*(1-AY45))</f>
        <v>#DIV/0!</v>
      </c>
      <c r="AZ47" s="248" t="e">
        <f>-'Income Statement'!AZ35/('Income Statement'!AZ33*(1-AZ45))</f>
        <v>#DIV/0!</v>
      </c>
      <c r="BA47" s="248" t="e">
        <f>-'Income Statement'!BA35/('Income Statement'!BA33*(1-BA45))</f>
        <v>#DIV/0!</v>
      </c>
      <c r="BB47" s="248" t="e">
        <f>-'Income Statement'!BB35/('Income Statement'!BB33*(1-BB45))</f>
        <v>#DIV/0!</v>
      </c>
      <c r="BC47" s="248" t="e">
        <f>-'Income Statement'!BC35/('Income Statement'!BC33*(1-BC45))</f>
        <v>#DIV/0!</v>
      </c>
      <c r="BD47" s="248" t="e">
        <f>-'Income Statement'!BD35/('Income Statement'!BD33*(1-BD45))</f>
        <v>#DIV/0!</v>
      </c>
      <c r="BE47" s="248" t="e">
        <f>-'Income Statement'!BE35/('Income Statement'!BE33*(1-BE45))</f>
        <v>#DIV/0!</v>
      </c>
      <c r="BF47" s="248" t="e">
        <f>-'Income Statement'!BF35/('Income Statement'!BF33*(1-BF45))</f>
        <v>#DIV/0!</v>
      </c>
      <c r="BG47" s="248" t="e">
        <f>-'Income Statement'!BG35/('Income Statement'!BG33*(1-BG45))</f>
        <v>#DIV/0!</v>
      </c>
      <c r="BH47" s="248" t="e">
        <f>-'Income Statement'!BH35/('Income Statement'!BH33*(1-BH45))</f>
        <v>#DIV/0!</v>
      </c>
      <c r="BI47" s="248" t="e">
        <f>-'Income Statement'!BI35/('Income Statement'!BI33*(1-BI45))</f>
        <v>#DIV/0!</v>
      </c>
      <c r="BJ47" s="248" t="e">
        <f>-'Income Statement'!BJ35/('Income Statement'!BJ33*(1-BJ45))</f>
        <v>#DIV/0!</v>
      </c>
      <c r="BK47" s="248" t="e">
        <f>-'Income Statement'!BK35/('Income Statement'!BK33*(1-BK45))</f>
        <v>#DIV/0!</v>
      </c>
      <c r="BL47" s="248" t="e">
        <f>-'Income Statement'!BL35/('Income Statement'!BL33*(1-BL45))</f>
        <v>#DIV/0!</v>
      </c>
      <c r="BM47" s="248" t="e">
        <f>-'Income Statement'!BM35/('Income Statement'!BM33*(1-BM45))</f>
        <v>#DIV/0!</v>
      </c>
      <c r="BN47" s="248" t="e">
        <f>-'Income Statement'!BN35/('Income Statement'!BN33*(1-BN45))</f>
        <v>#DIV/0!</v>
      </c>
      <c r="BO47" s="248" t="e">
        <f>-'Income Statement'!BO35/('Income Statement'!BO33*(1-BO45))</f>
        <v>#DIV/0!</v>
      </c>
      <c r="BP47" s="248" t="e">
        <f>-'Income Statement'!BP35/('Income Statement'!BP33*(1-BP45))</f>
        <v>#DIV/0!</v>
      </c>
      <c r="BQ47" s="248" t="e">
        <f>-'Income Statement'!BQ35/('Income Statement'!BQ33*(1-BQ45))</f>
        <v>#DIV/0!</v>
      </c>
      <c r="BR47" s="248" t="e">
        <f>-'Income Statement'!BR35/('Income Statement'!BR33*(1-BR45))</f>
        <v>#DIV/0!</v>
      </c>
      <c r="BS47" s="248" t="e">
        <f>-'Income Statement'!BS35/('Income Statement'!BS33*(1-BS45))</f>
        <v>#DIV/0!</v>
      </c>
      <c r="BT47" s="248" t="e">
        <f>-'Income Statement'!BT35/('Income Statement'!BT33*(1-BT45))</f>
        <v>#DIV/0!</v>
      </c>
      <c r="BU47" s="248" t="e">
        <f>-'Income Statement'!BU35/('Income Statement'!BU33*(1-BU45))</f>
        <v>#DIV/0!</v>
      </c>
      <c r="BV47" s="248" t="e">
        <f>-'Income Statement'!BV35/('Income Statement'!BV33*(1-BV45))</f>
        <v>#DIV/0!</v>
      </c>
      <c r="BW47" s="248" t="e">
        <f>-'Income Statement'!BW35/('Income Statement'!BW33*(1-BW45))</f>
        <v>#DIV/0!</v>
      </c>
      <c r="BX47" s="248" t="e">
        <f>-'Income Statement'!BX35/('Income Statement'!BX33*(1-BX45))</f>
        <v>#DIV/0!</v>
      </c>
      <c r="BY47" s="248">
        <f>-'Income Statement'!BY35/('Income Statement'!BY33*(1-BY45))</f>
        <v>3.6523559236345413E-2</v>
      </c>
      <c r="BZ47" s="248">
        <f>-'Income Statement'!BZ35/('Income Statement'!BZ33*(1-BZ45))</f>
        <v>4.9926564432212127E-2</v>
      </c>
      <c r="CA47" s="248">
        <f>-'Income Statement'!CA35/('Income Statement'!CA33*(1-CA45))</f>
        <v>4.5492570157716447E-2</v>
      </c>
      <c r="CB47" s="248">
        <f>-'Income Statement'!CB35/('Income Statement'!CB33*(1-CB45))</f>
        <v>1.2997243704271393E-2</v>
      </c>
      <c r="CC47" s="248">
        <f>-'Income Statement'!CC35/('Income Statement'!CC33*(1-CC45))</f>
        <v>4.2673265626990614E-2</v>
      </c>
      <c r="CD47" s="248">
        <f>-'Income Statement'!CD35/('Income Statement'!CD33*(1-CD45))</f>
        <v>4.8298822449613414E-2</v>
      </c>
      <c r="CE47" s="248">
        <f>-'Income Statement'!CE35/('Income Statement'!CE33*(1-CE45))</f>
        <v>4.949847806112647E-2</v>
      </c>
      <c r="CF47" s="248">
        <f>-'Income Statement'!CF35/('Income Statement'!CF33*(1-CF45))</f>
        <v>3.9659844023577258E-2</v>
      </c>
      <c r="CG47" s="248">
        <f>-'Income Statement'!CG35/('Income Statement'!CG33*(1-CG45))</f>
        <v>0</v>
      </c>
      <c r="CH47" s="248">
        <f>-'Income Statement'!CH35/('Income Statement'!CH33*(1-CH45))</f>
        <v>0</v>
      </c>
      <c r="CI47" s="248">
        <f>-'Income Statement'!CI35/('Income Statement'!CI33*(1-CI45))</f>
        <v>0</v>
      </c>
      <c r="CJ47" s="248">
        <f>-'Income Statement'!CJ35/('Income Statement'!CJ33*(1-CJ45))</f>
        <v>0</v>
      </c>
      <c r="CK47" s="248">
        <f>-'Income Statement'!CK35/('Income Statement'!CK33*(1-CK45))</f>
        <v>0</v>
      </c>
      <c r="CL47" s="248">
        <f>-'Income Statement'!CL35/('Income Statement'!CL33*(1-CL45))</f>
        <v>0</v>
      </c>
      <c r="CM47" s="248">
        <f>-'Income Statement'!CM35/('Income Statement'!CM33*(1-CM45))</f>
        <v>0</v>
      </c>
      <c r="CN47" s="248">
        <f>-'Income Statement'!CN35/('Income Statement'!CN33*(1-CN45))</f>
        <v>0</v>
      </c>
      <c r="CO47" s="248">
        <f>-'Income Statement'!CO35/('Income Statement'!CO33*(1-CO45))</f>
        <v>0</v>
      </c>
      <c r="CP47" s="248">
        <f>-'Income Statement'!CP35/('Income Statement'!CP33*(1-CP45))</f>
        <v>0</v>
      </c>
      <c r="CQ47" s="248">
        <f>-'Income Statement'!CQ35/('Income Statement'!CQ33*(1-CQ45))</f>
        <v>0</v>
      </c>
      <c r="CR47" s="248">
        <f>-'Income Statement'!CR35/('Income Statement'!CR33*(1-CR45))</f>
        <v>0</v>
      </c>
      <c r="CS47" s="248">
        <f>-'Income Statement'!CS35/('Income Statement'!CS33*(1-CS45))</f>
        <v>0</v>
      </c>
      <c r="CT47" s="248">
        <f>-'Income Statement'!CT35/('Income Statement'!CT33*(1-CT45))</f>
        <v>0</v>
      </c>
      <c r="CU47" s="248">
        <f>-'Income Statement'!CU35/('Income Statement'!CU33*(1-CU45))</f>
        <v>0</v>
      </c>
      <c r="CV47" s="248">
        <f>-'Income Statement'!CV35/('Income Statement'!CV33*(1-CV45))</f>
        <v>0</v>
      </c>
      <c r="CW47" s="248">
        <f>-'Income Statement'!CW35/('Income Statement'!CW33*(1-CW45))</f>
        <v>0</v>
      </c>
      <c r="CX47" s="248">
        <f>-'Income Statement'!CX35/('Income Statement'!CX33*(1-CX45))</f>
        <v>0</v>
      </c>
      <c r="CY47" s="248">
        <f>-'Income Statement'!CY35/('Income Statement'!CY33*(1-CY45))</f>
        <v>0</v>
      </c>
      <c r="CZ47" s="248">
        <f>-'Income Statement'!CZ35/('Income Statement'!CZ33*(1-CZ45))</f>
        <v>0</v>
      </c>
      <c r="DA47" s="247">
        <v>0</v>
      </c>
      <c r="DB47" s="247">
        <v>0</v>
      </c>
      <c r="DC47" s="247">
        <v>0</v>
      </c>
      <c r="DD47" s="247">
        <v>0</v>
      </c>
      <c r="DE47" s="247">
        <v>0</v>
      </c>
      <c r="DF47" s="247">
        <v>0</v>
      </c>
      <c r="DG47" s="247">
        <v>0</v>
      </c>
      <c r="DH47" s="247">
        <v>0</v>
      </c>
      <c r="DI47" s="247">
        <v>0</v>
      </c>
      <c r="DJ47" s="247">
        <v>0</v>
      </c>
      <c r="DK47" s="247">
        <v>0</v>
      </c>
      <c r="DL47" s="247">
        <v>0</v>
      </c>
      <c r="DM47" s="247">
        <v>0</v>
      </c>
      <c r="DN47" s="247">
        <v>0</v>
      </c>
      <c r="DO47" s="247">
        <v>0</v>
      </c>
      <c r="DP47" s="247">
        <v>0</v>
      </c>
      <c r="DQ47" s="247">
        <v>0</v>
      </c>
      <c r="DR47" s="247">
        <v>0</v>
      </c>
      <c r="DS47" s="247">
        <v>0</v>
      </c>
      <c r="DT47" s="247">
        <v>0</v>
      </c>
      <c r="DU47" s="247">
        <v>0</v>
      </c>
      <c r="DV47" s="247">
        <v>0</v>
      </c>
      <c r="DW47" s="247">
        <v>0</v>
      </c>
      <c r="DX47" s="247">
        <v>0</v>
      </c>
    </row>
    <row r="48" spans="1:128">
      <c r="A48" s="250" t="s">
        <v>238</v>
      </c>
      <c r="B48" s="248"/>
      <c r="C48" s="248"/>
      <c r="D48" s="248"/>
      <c r="E48" s="248"/>
      <c r="F48" s="248"/>
      <c r="G48" s="248"/>
      <c r="H48" s="248"/>
      <c r="I48" s="248"/>
      <c r="J48" s="248" t="e">
        <f>'Income Statement'!J43/'Income Statement'!J39</f>
        <v>#DIV/0!</v>
      </c>
      <c r="K48" s="248" t="e">
        <f>'Income Statement'!K43/'Income Statement'!K39</f>
        <v>#DIV/0!</v>
      </c>
      <c r="L48" s="248" t="e">
        <f>'Income Statement'!L43/'Income Statement'!L39</f>
        <v>#DIV/0!</v>
      </c>
      <c r="M48" s="248" t="e">
        <f>'Income Statement'!M43/'Income Statement'!M39</f>
        <v>#DIV/0!</v>
      </c>
      <c r="N48" s="248">
        <f ca="1">'Income Statement'!N43/'Income Statement'!N39</f>
        <v>0.26188640646483285</v>
      </c>
      <c r="O48" s="248">
        <f>'Income Statement'!O43/'Income Statement'!O39</f>
        <v>0.23811686971066404</v>
      </c>
      <c r="P48" s="248">
        <f>'Income Statement'!P43/'Income Statement'!P39</f>
        <v>0.22104725125923624</v>
      </c>
      <c r="Q48" s="251">
        <f>'Income Statement'!Q43/'Income Statement'!Q39</f>
        <v>0.23653732312375286</v>
      </c>
      <c r="R48" s="251">
        <f>'Income Statement'!R43/'Income Statement'!R39</f>
        <v>0.34636596448286777</v>
      </c>
      <c r="S48" s="251">
        <f ca="1">'Income Statement'!S43/'Income Statement'!S39</f>
        <v>0.1753788347114805</v>
      </c>
      <c r="T48" s="248">
        <f ca="1">'Income Statement'!T43/'Income Statement'!T39</f>
        <v>0.17254071106854441</v>
      </c>
      <c r="U48" s="247">
        <f ca="1">'Income Statement'!U43/'Income Statement'!U39</f>
        <v>0.21972469330791616</v>
      </c>
      <c r="V48" s="247">
        <f ca="1">'Income Statement'!V43/'Income Statement'!V39</f>
        <v>0.21084311944799597</v>
      </c>
      <c r="W48" s="247">
        <f ca="1">'Income Statement'!W43/'Income Statement'!W39</f>
        <v>0.21062042976996159</v>
      </c>
      <c r="X48" s="247">
        <f ca="1">'Income Statement'!X43/'Income Statement'!X39</f>
        <v>0.21732190185222169</v>
      </c>
      <c r="Y48" s="247">
        <f ca="1">'Income Statement'!Y43/'Income Statement'!Y39</f>
        <v>0.21538338172845464</v>
      </c>
      <c r="Z48" s="247">
        <f ca="1">'Income Statement'!Z43/'Income Statement'!Z39</f>
        <v>0.21515683323653462</v>
      </c>
      <c r="AA48" s="213"/>
      <c r="AB48" s="250" t="str">
        <f t="shared" si="42"/>
        <v>Dividend payout ratio</v>
      </c>
      <c r="AC48" s="249" t="e">
        <f>'Income Statement'!AC69/'Income Statement'!AC67</f>
        <v>#DIV/0!</v>
      </c>
      <c r="AD48" s="248" t="e">
        <f>'Income Statement'!AD43/'Income Statement'!AD39</f>
        <v>#DIV/0!</v>
      </c>
      <c r="AE48" s="248" t="e">
        <f>'Income Statement'!AE43/'Income Statement'!AE39</f>
        <v>#DIV/0!</v>
      </c>
      <c r="AF48" s="248" t="e">
        <f>'Income Statement'!AF43/'Income Statement'!AF39</f>
        <v>#DIV/0!</v>
      </c>
      <c r="AG48" s="248" t="e">
        <f>'Income Statement'!AG43/'Income Statement'!AG39</f>
        <v>#DIV/0!</v>
      </c>
      <c r="AH48" s="248" t="e">
        <f>'Income Statement'!AH43/'Income Statement'!AH39</f>
        <v>#DIV/0!</v>
      </c>
      <c r="AI48" s="248" t="e">
        <f>'Income Statement'!AI43/'Income Statement'!AI39</f>
        <v>#DIV/0!</v>
      </c>
      <c r="AJ48" s="248" t="e">
        <f>'Income Statement'!AJ43/'Income Statement'!AJ39</f>
        <v>#DIV/0!</v>
      </c>
      <c r="AK48" s="248" t="e">
        <f>'Income Statement'!AK43/'Income Statement'!AK39</f>
        <v>#DIV/0!</v>
      </c>
      <c r="AL48" s="248" t="e">
        <f>'Income Statement'!AL43/'Income Statement'!AL39</f>
        <v>#DIV/0!</v>
      </c>
      <c r="AM48" s="248" t="e">
        <f>'Income Statement'!AM43/'Income Statement'!AM39</f>
        <v>#DIV/0!</v>
      </c>
      <c r="AN48" s="248" t="e">
        <f>'Income Statement'!AN43/'Income Statement'!AN39</f>
        <v>#DIV/0!</v>
      </c>
      <c r="AO48" s="248" t="e">
        <f>'Income Statement'!AO43/'Income Statement'!AO39</f>
        <v>#DIV/0!</v>
      </c>
      <c r="AP48" s="248" t="e">
        <f>'Income Statement'!AP43/'Income Statement'!AP39</f>
        <v>#DIV/0!</v>
      </c>
      <c r="AQ48" s="248" t="e">
        <f>'Income Statement'!AQ43/'Income Statement'!AQ39</f>
        <v>#DIV/0!</v>
      </c>
      <c r="AR48" s="248" t="e">
        <f>'Income Statement'!AR43/'Income Statement'!AR39</f>
        <v>#DIV/0!</v>
      </c>
      <c r="AS48" s="248" t="e">
        <f>'Income Statement'!AS43/'Income Statement'!AS39</f>
        <v>#DIV/0!</v>
      </c>
      <c r="AT48" s="248" t="e">
        <f>'Income Statement'!AT43/'Income Statement'!AT39</f>
        <v>#DIV/0!</v>
      </c>
      <c r="AU48" s="248" t="e">
        <f>'Income Statement'!AU43/'Income Statement'!AU39</f>
        <v>#DIV/0!</v>
      </c>
      <c r="AV48" s="248" t="e">
        <f>'Income Statement'!AV43/'Income Statement'!AV39</f>
        <v>#DIV/0!</v>
      </c>
      <c r="AW48" s="248" t="e">
        <f>'Income Statement'!AW43/'Income Statement'!AW39</f>
        <v>#DIV/0!</v>
      </c>
      <c r="AX48" s="248" t="e">
        <f>'Income Statement'!AX43/'Income Statement'!AX39</f>
        <v>#DIV/0!</v>
      </c>
      <c r="AY48" s="248" t="e">
        <f>'Income Statement'!AY43/'Income Statement'!AY39</f>
        <v>#DIV/0!</v>
      </c>
      <c r="AZ48" s="248" t="e">
        <f>'Income Statement'!AZ43/'Income Statement'!AZ39</f>
        <v>#DIV/0!</v>
      </c>
      <c r="BA48" s="248" t="e">
        <f>'Income Statement'!BA43/'Income Statement'!BA39</f>
        <v>#DIV/0!</v>
      </c>
      <c r="BB48" s="248" t="e">
        <f>'Income Statement'!BB43/'Income Statement'!BB39</f>
        <v>#DIV/0!</v>
      </c>
      <c r="BC48" s="248" t="e">
        <f>'Income Statement'!BC43/'Income Statement'!BC39</f>
        <v>#DIV/0!</v>
      </c>
      <c r="BD48" s="248" t="e">
        <f>'Income Statement'!BD43/'Income Statement'!BD39</f>
        <v>#DIV/0!</v>
      </c>
      <c r="BE48" s="248" t="e">
        <f>'Income Statement'!BE43/'Income Statement'!BE39</f>
        <v>#DIV/0!</v>
      </c>
      <c r="BF48" s="248" t="e">
        <f>'Income Statement'!BF43/'Income Statement'!BF39</f>
        <v>#DIV/0!</v>
      </c>
      <c r="BG48" s="248" t="e">
        <f>'Income Statement'!BG43/'Income Statement'!BG39</f>
        <v>#DIV/0!</v>
      </c>
      <c r="BH48" s="248" t="e">
        <f>'Income Statement'!BH43/'Income Statement'!BH39</f>
        <v>#DIV/0!</v>
      </c>
      <c r="BI48" s="248" t="e">
        <f>'Income Statement'!BI43/'Income Statement'!BI39</f>
        <v>#DIV/0!</v>
      </c>
      <c r="BJ48" s="248" t="e">
        <f>'Income Statement'!BJ43/'Income Statement'!BJ39</f>
        <v>#DIV/0!</v>
      </c>
      <c r="BK48" s="248" t="e">
        <f>'Income Statement'!BK43/'Income Statement'!BK39</f>
        <v>#DIV/0!</v>
      </c>
      <c r="BL48" s="248" t="e">
        <f>'Income Statement'!BL43/'Income Statement'!BL39</f>
        <v>#DIV/0!</v>
      </c>
      <c r="BM48" s="248" t="e">
        <f>'Income Statement'!BM43/'Income Statement'!BM39</f>
        <v>#DIV/0!</v>
      </c>
      <c r="BN48" s="248" t="e">
        <f>'Income Statement'!BN43/'Income Statement'!BN39</f>
        <v>#DIV/0!</v>
      </c>
      <c r="BO48" s="248" t="e">
        <f>'Income Statement'!BO43/'Income Statement'!BO39</f>
        <v>#DIV/0!</v>
      </c>
      <c r="BP48" s="248" t="e">
        <f>'Income Statement'!BP43/'Income Statement'!BP39</f>
        <v>#DIV/0!</v>
      </c>
      <c r="BQ48" s="248" t="e">
        <f>'Income Statement'!BQ43/'Income Statement'!BQ39</f>
        <v>#DIV/0!</v>
      </c>
      <c r="BR48" s="248" t="e">
        <f>'Income Statement'!BR43/'Income Statement'!BR39</f>
        <v>#DIV/0!</v>
      </c>
      <c r="BS48" s="248" t="e">
        <f>'Income Statement'!BS43/'Income Statement'!BS39</f>
        <v>#DIV/0!</v>
      </c>
      <c r="BT48" s="248" t="e">
        <f>'Income Statement'!BT43/'Income Statement'!BT39</f>
        <v>#DIV/0!</v>
      </c>
      <c r="BU48" s="248" t="e">
        <f>'Income Statement'!BU43/'Income Statement'!BU39</f>
        <v>#DIV/0!</v>
      </c>
      <c r="BV48" s="248" t="e">
        <f>'Income Statement'!BV43/'Income Statement'!BV39</f>
        <v>#DIV/0!</v>
      </c>
      <c r="BW48" s="248" t="e">
        <f>'Income Statement'!BW43/'Income Statement'!BW39</f>
        <v>#DIV/0!</v>
      </c>
      <c r="BX48" s="248" t="e">
        <f>'Income Statement'!BX43/'Income Statement'!BX39</f>
        <v>#DIV/0!</v>
      </c>
      <c r="BY48" s="248">
        <f>'Income Statement'!BY43/'Income Statement'!BY39</f>
        <v>1.0443502195794987</v>
      </c>
      <c r="BZ48" s="248">
        <f ca="1">'Income Statement'!BZ43/'Income Statement'!BZ39</f>
        <v>0</v>
      </c>
      <c r="CA48" s="248">
        <f ca="1">'Income Statement'!CA43/'Income Statement'!CA39</f>
        <v>0</v>
      </c>
      <c r="CB48" s="248">
        <f ca="1">'Income Statement'!CB43/'Income Statement'!CB39</f>
        <v>0</v>
      </c>
      <c r="CC48" s="248">
        <f>'Income Statement'!CC43/'Income Statement'!CC39</f>
        <v>1.0891501955298333</v>
      </c>
      <c r="CD48" s="248">
        <f>'Income Statement'!CD43/'Income Statement'!CD39</f>
        <v>0</v>
      </c>
      <c r="CE48" s="248">
        <f>'Income Statement'!CE43/'Income Statement'!CE39</f>
        <v>0</v>
      </c>
      <c r="CF48" s="248">
        <f>'Income Statement'!CF43/'Income Statement'!CF39</f>
        <v>0</v>
      </c>
      <c r="CG48" s="248">
        <f>'Income Statement'!CG43/'Income Statement'!CG39</f>
        <v>0.89474168151878741</v>
      </c>
      <c r="CH48" s="248">
        <f>'Income Statement'!CH43/'Income Statement'!CH39</f>
        <v>0</v>
      </c>
      <c r="CI48" s="248">
        <f>'Income Statement'!CI43/'Income Statement'!CI39</f>
        <v>0</v>
      </c>
      <c r="CJ48" s="248">
        <f>'Income Statement'!CJ43/'Income Statement'!CJ39</f>
        <v>0</v>
      </c>
      <c r="CK48" s="248">
        <f>'Income Statement'!CK43/'Income Statement'!CK39</f>
        <v>0.97144534859589882</v>
      </c>
      <c r="CL48" s="248">
        <f>'Income Statement'!CL43/'Income Statement'!CL39</f>
        <v>0</v>
      </c>
      <c r="CM48" s="248">
        <f>'Income Statement'!CM43/'Income Statement'!CM39</f>
        <v>0</v>
      </c>
      <c r="CN48" s="248">
        <f>'Income Statement'!CN43/'Income Statement'!CN39</f>
        <v>0</v>
      </c>
      <c r="CO48" s="248">
        <f>'Income Statement'!CO43/'Income Statement'!CO39</f>
        <v>1.1359166462512698</v>
      </c>
      <c r="CP48" s="248">
        <f>'Income Statement'!CP43/'Income Statement'!CP39</f>
        <v>0</v>
      </c>
      <c r="CQ48" s="248">
        <f>'Income Statement'!CQ43/'Income Statement'!CQ39</f>
        <v>0</v>
      </c>
      <c r="CR48" s="248">
        <f>'Income Statement'!CR43/'Income Statement'!CR39</f>
        <v>0</v>
      </c>
      <c r="CS48" s="248">
        <f>'Income Statement'!CS43/'Income Statement'!CS39</f>
        <v>0.70445646516414773</v>
      </c>
      <c r="CT48" s="248">
        <f ca="1">'Income Statement'!CT43/'Income Statement'!CT39</f>
        <v>0</v>
      </c>
      <c r="CU48" s="248">
        <f ca="1">'Income Statement'!CU43/'Income Statement'!CU39</f>
        <v>0</v>
      </c>
      <c r="CV48" s="248">
        <f ca="1">'Income Statement'!CV43/'Income Statement'!CV39</f>
        <v>0</v>
      </c>
      <c r="CW48" s="248">
        <f>'Income Statement'!CW43/'Income Statement'!CW39</f>
        <v>0.65861008633152529</v>
      </c>
      <c r="CX48" s="248">
        <f ca="1">'Income Statement'!CX43/'Income Statement'!CX39</f>
        <v>0</v>
      </c>
      <c r="CY48" s="248">
        <f ca="1">'Income Statement'!CY43/'Income Statement'!CY39</f>
        <v>0</v>
      </c>
      <c r="CZ48" s="248">
        <f ca="1">'Income Statement'!CZ43/'Income Statement'!CZ39</f>
        <v>0</v>
      </c>
      <c r="DA48" s="247">
        <v>0.93875073740489179</v>
      </c>
      <c r="DB48" s="247">
        <v>0</v>
      </c>
      <c r="DC48" s="247">
        <v>0</v>
      </c>
      <c r="DD48" s="247">
        <v>0</v>
      </c>
      <c r="DE48" s="247">
        <v>0.8765827802297288</v>
      </c>
      <c r="DF48" s="247">
        <v>0</v>
      </c>
      <c r="DG48" s="247">
        <v>0</v>
      </c>
      <c r="DH48" s="247">
        <v>0</v>
      </c>
      <c r="DI48" s="247">
        <v>0.89819175540263185</v>
      </c>
      <c r="DJ48" s="247">
        <v>0</v>
      </c>
      <c r="DK48" s="247">
        <v>0</v>
      </c>
      <c r="DL48" s="247">
        <v>0</v>
      </c>
      <c r="DM48" s="247">
        <v>0.89596652800186283</v>
      </c>
      <c r="DN48" s="247">
        <v>0</v>
      </c>
      <c r="DO48" s="247">
        <v>0</v>
      </c>
      <c r="DP48" s="247">
        <v>0</v>
      </c>
      <c r="DQ48" s="247">
        <v>0.90312194816535485</v>
      </c>
      <c r="DR48" s="247">
        <v>0</v>
      </c>
      <c r="DS48" s="247">
        <v>0</v>
      </c>
      <c r="DT48" s="247">
        <v>0</v>
      </c>
      <c r="DU48" s="247">
        <v>0.89886101800076268</v>
      </c>
      <c r="DV48" s="247">
        <v>0</v>
      </c>
      <c r="DW48" s="247">
        <v>0</v>
      </c>
      <c r="DX48" s="247">
        <v>0</v>
      </c>
    </row>
    <row r="49" spans="1:128">
      <c r="A49" s="245"/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6"/>
      <c r="R49" s="246"/>
      <c r="S49" s="246"/>
      <c r="T49" s="242"/>
      <c r="U49" s="241"/>
      <c r="V49" s="241"/>
      <c r="W49" s="241"/>
      <c r="X49" s="241"/>
      <c r="Y49" s="241"/>
      <c r="Z49" s="241"/>
      <c r="AA49" s="213"/>
      <c r="AB49" s="245"/>
      <c r="AC49" s="244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43"/>
      <c r="AT49" s="243"/>
      <c r="AU49" s="243"/>
      <c r="AV49" s="243"/>
      <c r="AW49" s="243"/>
      <c r="AX49" s="243"/>
      <c r="AY49" s="243"/>
      <c r="AZ49" s="243"/>
      <c r="BA49" s="243"/>
      <c r="BB49" s="243"/>
      <c r="BC49" s="243"/>
      <c r="BD49" s="243"/>
      <c r="BE49" s="243"/>
      <c r="BF49" s="243"/>
      <c r="BG49" s="243"/>
      <c r="BH49" s="243"/>
      <c r="BI49" s="243"/>
      <c r="BJ49" s="243"/>
      <c r="BK49" s="243"/>
      <c r="BL49" s="243"/>
      <c r="BM49" s="243"/>
      <c r="BN49" s="242"/>
      <c r="BO49" s="242"/>
      <c r="BP49" s="242"/>
      <c r="BQ49" s="242"/>
      <c r="BR49" s="242"/>
      <c r="BS49" s="242"/>
      <c r="BT49" s="242"/>
      <c r="BU49" s="242"/>
      <c r="BV49" s="242"/>
      <c r="BW49" s="242"/>
      <c r="BX49" s="242"/>
      <c r="BY49" s="242"/>
      <c r="BZ49" s="242"/>
      <c r="CA49" s="242"/>
      <c r="CB49" s="242"/>
      <c r="CC49" s="241"/>
      <c r="CD49" s="241"/>
      <c r="CE49" s="241"/>
      <c r="CF49" s="241"/>
      <c r="CG49" s="241"/>
      <c r="CH49" s="241"/>
      <c r="CI49" s="241"/>
      <c r="CJ49" s="241"/>
      <c r="CK49" s="241"/>
      <c r="CM49" s="241"/>
      <c r="CN49" s="241"/>
      <c r="CO49" s="241"/>
      <c r="CP49" s="241"/>
      <c r="CQ49" s="241"/>
      <c r="CR49" s="241"/>
      <c r="CS49" s="241"/>
      <c r="CT49" s="241"/>
      <c r="CU49" s="241"/>
      <c r="CV49" s="241"/>
      <c r="CW49" s="241"/>
      <c r="CX49" s="241"/>
      <c r="CY49" s="241"/>
      <c r="CZ49" s="241"/>
      <c r="DA49" s="241"/>
      <c r="DB49" s="241"/>
      <c r="DC49" s="241"/>
      <c r="DD49" s="241"/>
      <c r="DE49" s="241"/>
      <c r="DF49" s="241"/>
      <c r="DG49" s="241"/>
      <c r="DH49" s="241"/>
      <c r="DI49" s="241"/>
      <c r="DJ49" s="241"/>
      <c r="DK49" s="241"/>
      <c r="DL49" s="241"/>
      <c r="DM49" s="241"/>
      <c r="DN49" s="241"/>
      <c r="DO49" s="241"/>
      <c r="DP49" s="241"/>
      <c r="DQ49" s="241"/>
      <c r="DR49" s="241"/>
      <c r="DS49" s="241"/>
      <c r="DT49" s="241"/>
      <c r="DU49" s="241"/>
      <c r="DV49" s="241"/>
      <c r="DW49" s="241"/>
      <c r="DX49" s="241"/>
    </row>
    <row r="50" spans="1:128">
      <c r="A50" s="238" t="s">
        <v>237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40"/>
      <c r="R50" s="240"/>
      <c r="S50" s="240"/>
      <c r="T50" s="610"/>
      <c r="U50" s="239"/>
      <c r="V50" s="239"/>
      <c r="W50" s="239"/>
      <c r="X50" s="239"/>
      <c r="Y50" s="239"/>
      <c r="Z50" s="239"/>
      <c r="AA50" s="213"/>
      <c r="AB50" s="238" t="str">
        <f t="shared" ref="AB50:AB56" si="43">A50</f>
        <v>Balance sheet assumptions</v>
      </c>
      <c r="AC50" s="220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17"/>
      <c r="BN50" s="234"/>
      <c r="BO50" s="234"/>
      <c r="BP50" s="234"/>
      <c r="BQ50" s="234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4"/>
      <c r="CG50" s="234"/>
      <c r="CH50" s="234"/>
      <c r="CI50" s="234"/>
      <c r="CJ50" s="234"/>
      <c r="CK50" s="234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</row>
    <row r="51" spans="1:128">
      <c r="A51" s="232" t="s">
        <v>236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27"/>
      <c r="R51" s="227"/>
      <c r="S51" s="227"/>
      <c r="T51" s="611"/>
      <c r="U51" s="226"/>
      <c r="V51" s="226"/>
      <c r="W51" s="226"/>
      <c r="X51" s="226"/>
      <c r="Y51" s="226"/>
      <c r="Z51" s="226"/>
      <c r="AA51" s="213"/>
      <c r="AB51" s="232" t="str">
        <f t="shared" si="43"/>
        <v>Assets</v>
      </c>
      <c r="AC51" s="220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17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151"/>
      <c r="CM51" s="151"/>
      <c r="CN51" s="151"/>
      <c r="CO51" s="151"/>
      <c r="CP51" s="151"/>
      <c r="CQ51" s="151"/>
      <c r="CR51" s="151"/>
      <c r="CS51" s="151"/>
      <c r="CT51" s="151"/>
      <c r="CU51" s="151"/>
      <c r="CV51" s="151"/>
      <c r="CW51" s="151"/>
      <c r="CX51" s="151"/>
      <c r="CY51" s="151"/>
      <c r="CZ51" s="151"/>
      <c r="DA51" s="151"/>
      <c r="DB51" s="151"/>
      <c r="DC51" s="151"/>
      <c r="DD51" s="151"/>
      <c r="DE51" s="151"/>
      <c r="DF51" s="151"/>
      <c r="DG51" s="151"/>
      <c r="DH51" s="151"/>
      <c r="DI51" s="151"/>
      <c r="DJ51" s="151"/>
      <c r="DK51" s="151"/>
      <c r="DL51" s="151"/>
      <c r="DM51" s="151"/>
      <c r="DN51" s="151"/>
      <c r="DO51" s="151"/>
      <c r="DP51" s="151"/>
      <c r="DQ51" s="151"/>
      <c r="DR51" s="151"/>
      <c r="DS51" s="151"/>
      <c r="DT51" s="151"/>
      <c r="DU51" s="151"/>
      <c r="DV51" s="151"/>
      <c r="DW51" s="151"/>
      <c r="DX51" s="151"/>
    </row>
    <row r="52" spans="1:128">
      <c r="A52" s="41" t="s">
        <v>235</v>
      </c>
      <c r="B52" s="217"/>
      <c r="C52" s="217"/>
      <c r="D52" s="217"/>
      <c r="E52" s="217"/>
      <c r="F52" s="217"/>
      <c r="G52" s="217"/>
      <c r="H52" s="217"/>
      <c r="I52" s="217"/>
      <c r="J52" s="217" t="e">
        <f>'Balance Sheet'!J11/'Balance Sheet'!J31</f>
        <v>#DIV/0!</v>
      </c>
      <c r="K52" s="217" t="e">
        <f>'Balance Sheet'!K11/'Balance Sheet'!K31</f>
        <v>#DIV/0!</v>
      </c>
      <c r="L52" s="217" t="e">
        <f>'Balance Sheet'!L11/'Balance Sheet'!L31</f>
        <v>#DIV/0!</v>
      </c>
      <c r="M52" s="217" t="e">
        <f>'Balance Sheet'!M11/'Balance Sheet'!M31</f>
        <v>#DIV/0!</v>
      </c>
      <c r="N52" s="217">
        <f>'Balance Sheet'!N11/'Balance Sheet'!N31</f>
        <v>4.1945045245362987E-2</v>
      </c>
      <c r="O52" s="217">
        <f>'Balance Sheet'!O11/'Balance Sheet'!O31</f>
        <v>5.7092900312020967E-2</v>
      </c>
      <c r="P52" s="217">
        <f>'Balance Sheet'!P11/'Balance Sheet'!P31</f>
        <v>3.6789295482849392E-2</v>
      </c>
      <c r="Q52" s="162">
        <f>'Balance Sheet'!Q11/'Balance Sheet'!Q31</f>
        <v>2.3941227609225735E-2</v>
      </c>
      <c r="R52" s="162">
        <f>'Balance Sheet'!R11/'Balance Sheet'!R31</f>
        <v>3.7665599514362505E-2</v>
      </c>
      <c r="S52" s="162">
        <f>'Balance Sheet'!S11/'Balance Sheet'!S31</f>
        <v>3.2126619691494981E-2</v>
      </c>
      <c r="T52" s="608">
        <f>'Balance Sheet'!T11/'Balance Sheet'!T31</f>
        <v>2.4544436789422988E-2</v>
      </c>
      <c r="U52" s="155">
        <f>'Balance Sheet'!U11/'Balance Sheet'!U31</f>
        <v>4.7619047619047616E-2</v>
      </c>
      <c r="V52" s="155">
        <f>'Balance Sheet'!V11/'Balance Sheet'!V31</f>
        <v>4.7619047619047623E-2</v>
      </c>
      <c r="W52" s="155">
        <f>'Balance Sheet'!W11/'Balance Sheet'!W31</f>
        <v>4.7619047619047616E-2</v>
      </c>
      <c r="X52" s="155">
        <f>'Balance Sheet'!X11/'Balance Sheet'!X31</f>
        <v>4.761904761904763E-2</v>
      </c>
      <c r="Y52" s="155">
        <f>'Balance Sheet'!Y11/'Balance Sheet'!Y31</f>
        <v>4.7619047619047623E-2</v>
      </c>
      <c r="Z52" s="155">
        <f>'Balance Sheet'!Z11/'Balance Sheet'!Z31</f>
        <v>4.7619047619047616E-2</v>
      </c>
      <c r="AA52" s="213"/>
      <c r="AB52" s="41" t="str">
        <f t="shared" si="43"/>
        <v>Non-interest bearing, % of total assets</v>
      </c>
      <c r="AC52" s="218">
        <v>0</v>
      </c>
      <c r="AD52" s="217" t="e">
        <f>'Balance Sheet'!AD11/'Balance Sheet'!AD31</f>
        <v>#DIV/0!</v>
      </c>
      <c r="AE52" s="217" t="e">
        <f>'Balance Sheet'!AE11/'Balance Sheet'!AE31</f>
        <v>#DIV/0!</v>
      </c>
      <c r="AF52" s="217" t="e">
        <f>'Balance Sheet'!AF11/'Balance Sheet'!AF31</f>
        <v>#DIV/0!</v>
      </c>
      <c r="AG52" s="217" t="e">
        <f>'Balance Sheet'!AG11/'Balance Sheet'!AG31</f>
        <v>#DIV/0!</v>
      </c>
      <c r="AH52" s="217" t="e">
        <f>'Balance Sheet'!AH11/'Balance Sheet'!AH31</f>
        <v>#DIV/0!</v>
      </c>
      <c r="AI52" s="217" t="e">
        <f>'Balance Sheet'!AI11/'Balance Sheet'!AI31</f>
        <v>#DIV/0!</v>
      </c>
      <c r="AJ52" s="217" t="e">
        <f>'Balance Sheet'!AJ11/'Balance Sheet'!AJ31</f>
        <v>#DIV/0!</v>
      </c>
      <c r="AK52" s="217" t="e">
        <f>'Balance Sheet'!AK11/'Balance Sheet'!AK31</f>
        <v>#DIV/0!</v>
      </c>
      <c r="AL52" s="217" t="e">
        <f>'Balance Sheet'!AL11/'Balance Sheet'!AL31</f>
        <v>#DIV/0!</v>
      </c>
      <c r="AM52" s="217" t="e">
        <f>'Balance Sheet'!AM11/'Balance Sheet'!AM31</f>
        <v>#DIV/0!</v>
      </c>
      <c r="AN52" s="217" t="e">
        <f>'Balance Sheet'!AN11/'Balance Sheet'!AN31</f>
        <v>#DIV/0!</v>
      </c>
      <c r="AO52" s="217" t="e">
        <f>'Balance Sheet'!AO11/'Balance Sheet'!AO31</f>
        <v>#DIV/0!</v>
      </c>
      <c r="AP52" s="217" t="e">
        <f>'Balance Sheet'!AP11/'Balance Sheet'!AP31</f>
        <v>#DIV/0!</v>
      </c>
      <c r="AQ52" s="217" t="e">
        <f>'Balance Sheet'!AQ11/'Balance Sheet'!AQ31</f>
        <v>#DIV/0!</v>
      </c>
      <c r="AR52" s="217" t="e">
        <f>'Balance Sheet'!AR11/'Balance Sheet'!AR31</f>
        <v>#DIV/0!</v>
      </c>
      <c r="AS52" s="217" t="e">
        <f>'Balance Sheet'!AS11/'Balance Sheet'!AS31</f>
        <v>#DIV/0!</v>
      </c>
      <c r="AT52" s="217" t="e">
        <f>'Balance Sheet'!AT11/'Balance Sheet'!AT31</f>
        <v>#DIV/0!</v>
      </c>
      <c r="AU52" s="217" t="e">
        <f>'Balance Sheet'!AU11/'Balance Sheet'!AU31</f>
        <v>#DIV/0!</v>
      </c>
      <c r="AV52" s="217" t="e">
        <f>'Balance Sheet'!AV11/'Balance Sheet'!AV31</f>
        <v>#DIV/0!</v>
      </c>
      <c r="AW52" s="217" t="e">
        <f>'Balance Sheet'!AW11/'Balance Sheet'!AW31</f>
        <v>#DIV/0!</v>
      </c>
      <c r="AX52" s="217" t="e">
        <f>'Balance Sheet'!AX11/'Balance Sheet'!AX31</f>
        <v>#DIV/0!</v>
      </c>
      <c r="AY52" s="217" t="e">
        <f>'Balance Sheet'!AY11/'Balance Sheet'!AY31</f>
        <v>#DIV/0!</v>
      </c>
      <c r="AZ52" s="217" t="e">
        <f>'Balance Sheet'!AZ11/'Balance Sheet'!AZ31</f>
        <v>#DIV/0!</v>
      </c>
      <c r="BA52" s="217" t="e">
        <f>'Balance Sheet'!BA11/'Balance Sheet'!BA31</f>
        <v>#DIV/0!</v>
      </c>
      <c r="BB52" s="217" t="e">
        <f>'Balance Sheet'!BB11/'Balance Sheet'!BB31</f>
        <v>#DIV/0!</v>
      </c>
      <c r="BC52" s="217" t="e">
        <f>'Balance Sheet'!BC11/'Balance Sheet'!BC31</f>
        <v>#DIV/0!</v>
      </c>
      <c r="BD52" s="217" t="e">
        <f>'Balance Sheet'!BD11/'Balance Sheet'!BD31</f>
        <v>#DIV/0!</v>
      </c>
      <c r="BE52" s="217" t="e">
        <f>'Balance Sheet'!BE11/'Balance Sheet'!BE31</f>
        <v>#DIV/0!</v>
      </c>
      <c r="BF52" s="217" t="e">
        <f>'Balance Sheet'!BF11/'Balance Sheet'!BF31</f>
        <v>#DIV/0!</v>
      </c>
      <c r="BG52" s="217" t="e">
        <f>'Balance Sheet'!BG11/'Balance Sheet'!BG31</f>
        <v>#DIV/0!</v>
      </c>
      <c r="BH52" s="217" t="e">
        <f>'Balance Sheet'!BH11/'Balance Sheet'!BH31</f>
        <v>#DIV/0!</v>
      </c>
      <c r="BI52" s="217" t="e">
        <f>'Balance Sheet'!BI11/'Balance Sheet'!BI31</f>
        <v>#DIV/0!</v>
      </c>
      <c r="BJ52" s="217" t="e">
        <f>'Balance Sheet'!BJ11/'Balance Sheet'!BJ31</f>
        <v>#DIV/0!</v>
      </c>
      <c r="BK52" s="217" t="e">
        <f>'Balance Sheet'!BK11/'Balance Sheet'!BK31</f>
        <v>#DIV/0!</v>
      </c>
      <c r="BL52" s="217" t="e">
        <f>'Balance Sheet'!BL11/'Balance Sheet'!BL31</f>
        <v>#DIV/0!</v>
      </c>
      <c r="BM52" s="217" t="e">
        <f>'Balance Sheet'!BM11/'Balance Sheet'!BM31</f>
        <v>#DIV/0!</v>
      </c>
      <c r="BN52" s="217" t="e">
        <f>'Balance Sheet'!BN11/'Balance Sheet'!BN31</f>
        <v>#DIV/0!</v>
      </c>
      <c r="BO52" s="217" t="e">
        <f>'Balance Sheet'!BO11/'Balance Sheet'!BO31</f>
        <v>#DIV/0!</v>
      </c>
      <c r="BP52" s="217" t="e">
        <f>'Balance Sheet'!BP11/'Balance Sheet'!BP31</f>
        <v>#DIV/0!</v>
      </c>
      <c r="BQ52" s="217" t="e">
        <f>'Balance Sheet'!BQ11/'Balance Sheet'!BQ31</f>
        <v>#DIV/0!</v>
      </c>
      <c r="BR52" s="217" t="e">
        <f>'Balance Sheet'!BR11/'Balance Sheet'!BR31</f>
        <v>#DIV/0!</v>
      </c>
      <c r="BS52" s="217" t="e">
        <f>'Balance Sheet'!BS11/'Balance Sheet'!BS31</f>
        <v>#DIV/0!</v>
      </c>
      <c r="BT52" s="217" t="e">
        <f>'Balance Sheet'!BT11/'Balance Sheet'!BT31</f>
        <v>#DIV/0!</v>
      </c>
      <c r="BU52" s="217" t="e">
        <f>'Balance Sheet'!BU11/'Balance Sheet'!BU31</f>
        <v>#DIV/0!</v>
      </c>
      <c r="BV52" s="217" t="e">
        <f>'Balance Sheet'!BV11/'Balance Sheet'!BV31</f>
        <v>#DIV/0!</v>
      </c>
      <c r="BW52" s="217" t="e">
        <f>'Balance Sheet'!BW11/'Balance Sheet'!BW31</f>
        <v>#DIV/0!</v>
      </c>
      <c r="BX52" s="217" t="e">
        <f>'Balance Sheet'!BX11/'Balance Sheet'!BX31</f>
        <v>#DIV/0!</v>
      </c>
      <c r="BY52" s="217">
        <f>'Balance Sheet'!BY11/'Balance Sheet'!BY31</f>
        <v>4.3678293237960901E-2</v>
      </c>
      <c r="BZ52" s="217">
        <f>'Balance Sheet'!BZ11/'Balance Sheet'!BZ31</f>
        <v>3.4942883578174211E-2</v>
      </c>
      <c r="CA52" s="217">
        <f>'Balance Sheet'!CA11/'Balance Sheet'!CA31</f>
        <v>3.6340162051958697E-2</v>
      </c>
      <c r="CB52" s="217">
        <f>'Balance Sheet'!CB11/'Balance Sheet'!CB31</f>
        <v>4.1945045245362987E-2</v>
      </c>
      <c r="CC52" s="217">
        <f>'Balance Sheet'!CC11/'Balance Sheet'!CC31</f>
        <v>4.0857209732699962E-2</v>
      </c>
      <c r="CD52" s="217">
        <f>'Balance Sheet'!CD11/'Balance Sheet'!CD31</f>
        <v>3.6066442629765001E-2</v>
      </c>
      <c r="CE52" s="217">
        <f>'Balance Sheet'!CE11/'Balance Sheet'!CE31</f>
        <v>3.6161646801653145E-2</v>
      </c>
      <c r="CF52" s="217">
        <f>'Balance Sheet'!CF11/'Balance Sheet'!CF31</f>
        <v>5.7092900312020967E-2</v>
      </c>
      <c r="CG52" s="217">
        <f>'Balance Sheet'!CG11/'Balance Sheet'!CG31</f>
        <v>4.047731815386936E-2</v>
      </c>
      <c r="CH52" s="217">
        <f>'Balance Sheet'!CH11/'Balance Sheet'!CH31</f>
        <v>5.1357867251477299E-2</v>
      </c>
      <c r="CI52" s="217">
        <f>'Balance Sheet'!CI11/'Balance Sheet'!CI31</f>
        <v>3.4646349122718495E-2</v>
      </c>
      <c r="CJ52" s="217">
        <f>'Balance Sheet'!CJ11/'Balance Sheet'!CJ31</f>
        <v>3.6789295482849392E-2</v>
      </c>
      <c r="CK52" s="217">
        <f>'Balance Sheet'!CK11/'Balance Sheet'!CK31</f>
        <v>2.9620122714635353E-2</v>
      </c>
      <c r="CL52" s="217">
        <f>'Balance Sheet'!CL11/'Balance Sheet'!CL31</f>
        <v>2.2242055131099364E-2</v>
      </c>
      <c r="CM52" s="217">
        <f>'Balance Sheet'!CM11/'Balance Sheet'!CM31</f>
        <v>2.8455598941082429E-2</v>
      </c>
      <c r="CN52" s="217">
        <f>'Balance Sheet'!CN11/'Balance Sheet'!CN31</f>
        <v>2.3941227609225735E-2</v>
      </c>
      <c r="CO52" s="217">
        <f>'Balance Sheet'!CO11/'Balance Sheet'!CO31</f>
        <v>2.7957590298575131E-2</v>
      </c>
      <c r="CP52" s="217">
        <f>'Balance Sheet'!CP11/'Balance Sheet'!CP31</f>
        <v>3.0345925382382122E-2</v>
      </c>
      <c r="CQ52" s="217">
        <f>'Balance Sheet'!CQ11/'Balance Sheet'!CQ31</f>
        <v>2.9094867693884911E-2</v>
      </c>
      <c r="CR52" s="217">
        <f>'Balance Sheet'!CR11/'Balance Sheet'!CR31</f>
        <v>3.7665599514362505E-2</v>
      </c>
      <c r="CS52" s="217">
        <f>'Balance Sheet'!CS11/'Balance Sheet'!CS31</f>
        <v>3.1583160163561975E-2</v>
      </c>
      <c r="CT52" s="217">
        <f>'Balance Sheet'!CT11/'Balance Sheet'!CT31</f>
        <v>3.3569076600986153E-2</v>
      </c>
      <c r="CU52" s="217">
        <f>'Balance Sheet'!CU11/'Balance Sheet'!CU31</f>
        <v>2.6864716987002078E-2</v>
      </c>
      <c r="CV52" s="217">
        <f>'Balance Sheet'!CV11/'Balance Sheet'!CV31</f>
        <v>3.2126619691494981E-2</v>
      </c>
      <c r="CW52" s="217">
        <f>'Balance Sheet'!CW11/'Balance Sheet'!CW31</f>
        <v>3.4984785171206262E-2</v>
      </c>
      <c r="CX52" s="217">
        <f>'Balance Sheet'!CX11/'Balance Sheet'!CX31</f>
        <v>2.665889152548474E-2</v>
      </c>
      <c r="CY52" s="217">
        <f>'Balance Sheet'!CY11/'Balance Sheet'!CY31</f>
        <v>2.2426183886303564E-2</v>
      </c>
      <c r="CZ52" s="217">
        <f>'Balance Sheet'!CZ11/'Balance Sheet'!CZ31</f>
        <v>2.4544436789422988E-2</v>
      </c>
      <c r="DA52" s="216">
        <v>0.05</v>
      </c>
      <c r="DB52" s="216">
        <v>0.05</v>
      </c>
      <c r="DC52" s="216">
        <v>0.05</v>
      </c>
      <c r="DD52" s="216">
        <v>0.05</v>
      </c>
      <c r="DE52" s="216">
        <v>0.05</v>
      </c>
      <c r="DF52" s="216">
        <v>0.05</v>
      </c>
      <c r="DG52" s="216">
        <v>0.05</v>
      </c>
      <c r="DH52" s="216">
        <v>0.05</v>
      </c>
      <c r="DI52" s="216">
        <v>0.05</v>
      </c>
      <c r="DJ52" s="216">
        <v>0.05</v>
      </c>
      <c r="DK52" s="216">
        <v>0.05</v>
      </c>
      <c r="DL52" s="216">
        <v>0.05</v>
      </c>
      <c r="DM52" s="216">
        <v>0.05</v>
      </c>
      <c r="DN52" s="216">
        <v>0.05</v>
      </c>
      <c r="DO52" s="216">
        <v>0.05</v>
      </c>
      <c r="DP52" s="216">
        <v>0.05</v>
      </c>
      <c r="DQ52" s="216">
        <v>0.05</v>
      </c>
      <c r="DR52" s="216">
        <v>0.05</v>
      </c>
      <c r="DS52" s="216">
        <v>0.05</v>
      </c>
      <c r="DT52" s="216">
        <v>0.05</v>
      </c>
      <c r="DU52" s="216">
        <v>0.05</v>
      </c>
      <c r="DV52" s="216">
        <v>0.05</v>
      </c>
      <c r="DW52" s="216">
        <v>0.05</v>
      </c>
      <c r="DX52" s="216">
        <v>0.05</v>
      </c>
    </row>
    <row r="53" spans="1:128">
      <c r="A53" s="41" t="s">
        <v>234</v>
      </c>
      <c r="B53" s="217"/>
      <c r="C53" s="217"/>
      <c r="D53" s="217"/>
      <c r="E53" s="217"/>
      <c r="F53" s="217"/>
      <c r="G53" s="217"/>
      <c r="H53" s="217"/>
      <c r="I53" s="217"/>
      <c r="J53" s="217" t="e">
        <f>'Balance Sheet'!J12/'Balance Sheet'!I12-1</f>
        <v>#DIV/0!</v>
      </c>
      <c r="K53" s="217" t="e">
        <f>'Balance Sheet'!K12/'Balance Sheet'!J12-1</f>
        <v>#DIV/0!</v>
      </c>
      <c r="L53" s="217" t="e">
        <f>'Balance Sheet'!L12/'Balance Sheet'!K12-1</f>
        <v>#DIV/0!</v>
      </c>
      <c r="M53" s="217" t="e">
        <f>'Balance Sheet'!M12/'Balance Sheet'!L12-1</f>
        <v>#DIV/0!</v>
      </c>
      <c r="N53" s="217" t="e">
        <f>'Balance Sheet'!N12/'Balance Sheet'!M12-1</f>
        <v>#DIV/0!</v>
      </c>
      <c r="O53" s="217">
        <f>'Balance Sheet'!O12/'Balance Sheet'!N12-1</f>
        <v>1.3336946691035392</v>
      </c>
      <c r="P53" s="217">
        <f>'Balance Sheet'!P12/'Balance Sheet'!O12-1</f>
        <v>-0.37954828108717442</v>
      </c>
      <c r="Q53" s="219">
        <f>'Balance Sheet'!Q12/'Balance Sheet'!P12-1</f>
        <v>0.42366548386458058</v>
      </c>
      <c r="R53" s="219">
        <f>'Balance Sheet'!R12/'Balance Sheet'!Q12-1</f>
        <v>1.9827819665162227E-2</v>
      </c>
      <c r="S53" s="219">
        <f>'Balance Sheet'!S12/'Balance Sheet'!R12-1</f>
        <v>0.2017959093791557</v>
      </c>
      <c r="T53" s="217">
        <f>'Balance Sheet'!T12/'Balance Sheet'!S12-1</f>
        <v>0.35393908388026296</v>
      </c>
      <c r="U53" s="216">
        <f>'Balance Sheet'!U12/'Balance Sheet'!T12-1</f>
        <v>3.2590089289722624E-2</v>
      </c>
      <c r="V53" s="216">
        <f>'Balance Sheet'!V12/'Balance Sheet'!U12-1</f>
        <v>2.9749666269401009E-2</v>
      </c>
      <c r="W53" s="216">
        <f>'Balance Sheet'!W12/'Balance Sheet'!V12-1</f>
        <v>2.9999999999999805E-2</v>
      </c>
      <c r="X53" s="216">
        <f>'Balance Sheet'!X12/'Balance Sheet'!W12-1</f>
        <v>2.9999999999999583E-2</v>
      </c>
      <c r="Y53" s="216">
        <f>'Balance Sheet'!Y12/'Balance Sheet'!X12-1</f>
        <v>2.9999999999999583E-2</v>
      </c>
      <c r="Z53" s="216">
        <f>'Balance Sheet'!Z12/'Balance Sheet'!Y12-1</f>
        <v>2.9999999999999583E-2</v>
      </c>
      <c r="AA53" s="213"/>
      <c r="AB53" s="41" t="str">
        <f t="shared" si="43"/>
        <v>Interest bearing, % growth</v>
      </c>
      <c r="AC53" s="218">
        <v>0</v>
      </c>
      <c r="AD53" s="217" t="e">
        <f>'Balance Sheet'!AD12/'Balance Sheet'!AC12-1</f>
        <v>#DIV/0!</v>
      </c>
      <c r="AE53" s="217" t="e">
        <f>'Balance Sheet'!AE12/'Balance Sheet'!AD12-1</f>
        <v>#DIV/0!</v>
      </c>
      <c r="AF53" s="217" t="e">
        <f>'Balance Sheet'!AF12/'Balance Sheet'!AE12-1</f>
        <v>#DIV/0!</v>
      </c>
      <c r="AG53" s="217" t="e">
        <f>'Balance Sheet'!AG12/'Balance Sheet'!AF12-1</f>
        <v>#DIV/0!</v>
      </c>
      <c r="AH53" s="217" t="e">
        <f>'Balance Sheet'!AH12/'Balance Sheet'!AG12-1</f>
        <v>#DIV/0!</v>
      </c>
      <c r="AI53" s="217" t="e">
        <f>'Balance Sheet'!AI12/'Balance Sheet'!AH12-1</f>
        <v>#DIV/0!</v>
      </c>
      <c r="AJ53" s="217" t="e">
        <f>'Balance Sheet'!AJ12/'Balance Sheet'!AI12-1</f>
        <v>#DIV/0!</v>
      </c>
      <c r="AK53" s="217" t="e">
        <f>'Balance Sheet'!AK12/'Balance Sheet'!AJ12-1</f>
        <v>#DIV/0!</v>
      </c>
      <c r="AL53" s="217" t="e">
        <f>'Balance Sheet'!AL12/'Balance Sheet'!AK12-1</f>
        <v>#DIV/0!</v>
      </c>
      <c r="AM53" s="217" t="e">
        <f>'Balance Sheet'!AM12/'Balance Sheet'!AL12-1</f>
        <v>#DIV/0!</v>
      </c>
      <c r="AN53" s="217" t="e">
        <f>'Balance Sheet'!AN12/'Balance Sheet'!AM12-1</f>
        <v>#DIV/0!</v>
      </c>
      <c r="AO53" s="217" t="e">
        <f>'Balance Sheet'!AO12/'Balance Sheet'!AN12-1</f>
        <v>#DIV/0!</v>
      </c>
      <c r="AP53" s="217" t="e">
        <f>'Balance Sheet'!AP12/'Balance Sheet'!AO12-1</f>
        <v>#DIV/0!</v>
      </c>
      <c r="AQ53" s="217" t="e">
        <f>'Balance Sheet'!AQ12/'Balance Sheet'!AP12-1</f>
        <v>#DIV/0!</v>
      </c>
      <c r="AR53" s="217" t="e">
        <f>'Balance Sheet'!AR12/'Balance Sheet'!AQ12-1</f>
        <v>#DIV/0!</v>
      </c>
      <c r="AS53" s="217" t="e">
        <f>'Balance Sheet'!AS12/'Balance Sheet'!AR12-1</f>
        <v>#DIV/0!</v>
      </c>
      <c r="AT53" s="217" t="e">
        <f>'Balance Sheet'!AT12/'Balance Sheet'!AS12-1</f>
        <v>#DIV/0!</v>
      </c>
      <c r="AU53" s="217" t="e">
        <f>'Balance Sheet'!AU12/'Balance Sheet'!AT12-1</f>
        <v>#DIV/0!</v>
      </c>
      <c r="AV53" s="217" t="e">
        <f>'Balance Sheet'!AV12/'Balance Sheet'!AU12-1</f>
        <v>#DIV/0!</v>
      </c>
      <c r="AW53" s="217" t="e">
        <f>'Balance Sheet'!AW12/'Balance Sheet'!AV12-1</f>
        <v>#DIV/0!</v>
      </c>
      <c r="AX53" s="217" t="e">
        <f>'Balance Sheet'!AX12/'Balance Sheet'!AW12-1</f>
        <v>#DIV/0!</v>
      </c>
      <c r="AY53" s="217" t="e">
        <f>'Balance Sheet'!AY12/'Balance Sheet'!AX12-1</f>
        <v>#DIV/0!</v>
      </c>
      <c r="AZ53" s="217" t="e">
        <f>'Balance Sheet'!AZ12/'Balance Sheet'!AY12-1</f>
        <v>#DIV/0!</v>
      </c>
      <c r="BA53" s="217" t="e">
        <f>'Balance Sheet'!BA12/'Balance Sheet'!AZ12-1</f>
        <v>#DIV/0!</v>
      </c>
      <c r="BB53" s="217" t="e">
        <f>'Balance Sheet'!BB12/'Balance Sheet'!BA12-1</f>
        <v>#DIV/0!</v>
      </c>
      <c r="BC53" s="217" t="e">
        <f>'Balance Sheet'!BC12/'Balance Sheet'!BB12-1</f>
        <v>#DIV/0!</v>
      </c>
      <c r="BD53" s="217" t="e">
        <f>'Balance Sheet'!BD12/'Balance Sheet'!BC12-1</f>
        <v>#DIV/0!</v>
      </c>
      <c r="BE53" s="217" t="e">
        <f>'Balance Sheet'!BE12/'Balance Sheet'!BD12-1</f>
        <v>#DIV/0!</v>
      </c>
      <c r="BF53" s="217" t="e">
        <f>'Balance Sheet'!BF12/'Balance Sheet'!BE12-1</f>
        <v>#DIV/0!</v>
      </c>
      <c r="BG53" s="217" t="e">
        <f>'Balance Sheet'!BG12/'Balance Sheet'!BF12-1</f>
        <v>#DIV/0!</v>
      </c>
      <c r="BH53" s="217" t="e">
        <f>'Balance Sheet'!BH12/'Balance Sheet'!BG12-1</f>
        <v>#DIV/0!</v>
      </c>
      <c r="BI53" s="217" t="e">
        <f>'Balance Sheet'!BI12/'Balance Sheet'!BH12-1</f>
        <v>#DIV/0!</v>
      </c>
      <c r="BJ53" s="217" t="e">
        <f>'Balance Sheet'!BJ12/'Balance Sheet'!BI12-1</f>
        <v>#DIV/0!</v>
      </c>
      <c r="BK53" s="217" t="e">
        <f>'Balance Sheet'!BK12/'Balance Sheet'!BJ12-1</f>
        <v>#DIV/0!</v>
      </c>
      <c r="BL53" s="217" t="e">
        <f>'Balance Sheet'!BL12/'Balance Sheet'!BK12-1</f>
        <v>#DIV/0!</v>
      </c>
      <c r="BM53" s="217" t="e">
        <f>'Balance Sheet'!BM12/'Balance Sheet'!BL12-1</f>
        <v>#DIV/0!</v>
      </c>
      <c r="BN53" s="217" t="e">
        <f>'Balance Sheet'!BN12/'Balance Sheet'!BM12-1</f>
        <v>#DIV/0!</v>
      </c>
      <c r="BO53" s="217" t="e">
        <f>'Balance Sheet'!BO12/'Balance Sheet'!BN12-1</f>
        <v>#DIV/0!</v>
      </c>
      <c r="BP53" s="217" t="e">
        <f>'Balance Sheet'!BP12/'Balance Sheet'!BO12-1</f>
        <v>#DIV/0!</v>
      </c>
      <c r="BQ53" s="217" t="e">
        <f>'Balance Sheet'!BQ12/'Balance Sheet'!BP12-1</f>
        <v>#DIV/0!</v>
      </c>
      <c r="BR53" s="217" t="e">
        <f>'Balance Sheet'!BR12/'Balance Sheet'!BQ12-1</f>
        <v>#DIV/0!</v>
      </c>
      <c r="BS53" s="217" t="e">
        <f>'Balance Sheet'!BS12/'Balance Sheet'!BR12-1</f>
        <v>#DIV/0!</v>
      </c>
      <c r="BT53" s="217" t="e">
        <f>'Balance Sheet'!BT12/'Balance Sheet'!BS12-1</f>
        <v>#DIV/0!</v>
      </c>
      <c r="BU53" s="217" t="e">
        <f>'Balance Sheet'!BU12/'Balance Sheet'!BT12-1</f>
        <v>#DIV/0!</v>
      </c>
      <c r="BV53" s="217" t="e">
        <f>'Balance Sheet'!BV12/'Balance Sheet'!BU12-1</f>
        <v>#DIV/0!</v>
      </c>
      <c r="BW53" s="217" t="e">
        <f>'Balance Sheet'!BW12/'Balance Sheet'!BV12-1</f>
        <v>#DIV/0!</v>
      </c>
      <c r="BX53" s="217" t="e">
        <f>'Balance Sheet'!BX12/'Balance Sheet'!BW12-1</f>
        <v>#DIV/0!</v>
      </c>
      <c r="BY53" s="217" t="e">
        <f>'Balance Sheet'!BY12/'Balance Sheet'!BX12-1</f>
        <v>#DIV/0!</v>
      </c>
      <c r="BZ53" s="217">
        <f>'Balance Sheet'!BZ12/'Balance Sheet'!BY12-1</f>
        <v>-0.12740589348510045</v>
      </c>
      <c r="CA53" s="217">
        <f>'Balance Sheet'!CA12/'Balance Sheet'!BZ12-1</f>
        <v>-5.7015055284787453E-2</v>
      </c>
      <c r="CB53" s="217">
        <f>'Balance Sheet'!CB12/'Balance Sheet'!CA12-1</f>
        <v>6.2768010784694406E-2</v>
      </c>
      <c r="CC53" s="217">
        <f>'Balance Sheet'!CC12/'Balance Sheet'!CB12-1</f>
        <v>-0.14900355881807958</v>
      </c>
      <c r="CD53" s="217">
        <f>'Balance Sheet'!CD12/'Balance Sheet'!CC12-1</f>
        <v>1.6286469986872554E-2</v>
      </c>
      <c r="CE53" s="217">
        <f>'Balance Sheet'!CE12/'Balance Sheet'!CD12-1</f>
        <v>0.11811239746559443</v>
      </c>
      <c r="CF53" s="217">
        <f>'Balance Sheet'!CF12/'Balance Sheet'!CE12-1</f>
        <v>1.4133187304199271</v>
      </c>
      <c r="CG53" s="217">
        <f>'Balance Sheet'!CG12/'Balance Sheet'!CF12-1</f>
        <v>-0.15782332923349929</v>
      </c>
      <c r="CH53" s="217">
        <f>'Balance Sheet'!CH12/'Balance Sheet'!CG12-1</f>
        <v>-0.34333756408987992</v>
      </c>
      <c r="CI53" s="217">
        <f>'Balance Sheet'!CI12/'Balance Sheet'!CH12-1</f>
        <v>3.5403697959306868E-2</v>
      </c>
      <c r="CJ53" s="217">
        <f>'Balance Sheet'!CJ12/'Balance Sheet'!CI12-1</f>
        <v>8.3559839418809734E-2</v>
      </c>
      <c r="CK53" s="217">
        <f>'Balance Sheet'!CK12/'Balance Sheet'!CJ12-1</f>
        <v>0.16459995387153414</v>
      </c>
      <c r="CL53" s="217">
        <f>'Balance Sheet'!CL12/'Balance Sheet'!CK12-1</f>
        <v>-0.10236905088283688</v>
      </c>
      <c r="CM53" s="217">
        <f>'Balance Sheet'!CM12/'Balance Sheet'!CL12-1</f>
        <v>0.15817622529132769</v>
      </c>
      <c r="CN53" s="217">
        <f>'Balance Sheet'!CN12/'Balance Sheet'!CM12-1</f>
        <v>0.17586841147461718</v>
      </c>
      <c r="CO53" s="217">
        <f>'Balance Sheet'!CO12/'Balance Sheet'!CN12-1</f>
        <v>0.13382767050438615</v>
      </c>
      <c r="CP53" s="217">
        <f>'Balance Sheet'!CP12/'Balance Sheet'!CO12-1</f>
        <v>-0.11694012672120546</v>
      </c>
      <c r="CQ53" s="217">
        <f>'Balance Sheet'!CQ12/'Balance Sheet'!CP12-1</f>
        <v>5.5685115005792651E-2</v>
      </c>
      <c r="CR53" s="217">
        <f>'Balance Sheet'!CR12/'Balance Sheet'!CQ12-1</f>
        <v>-3.5160100986716958E-2</v>
      </c>
      <c r="CS53" s="217">
        <f>'Balance Sheet'!CS12/'Balance Sheet'!CR12-1</f>
        <v>0.10470011678299462</v>
      </c>
      <c r="CT53" s="217">
        <f>'Balance Sheet'!CT12/'Balance Sheet'!CS12-1</f>
        <v>-3.1410215743706393E-2</v>
      </c>
      <c r="CU53" s="217">
        <f>'Balance Sheet'!CU12/'Balance Sheet'!CT12-1</f>
        <v>0.10076876818221137</v>
      </c>
      <c r="CV53" s="217">
        <f>'Balance Sheet'!CV12/'Balance Sheet'!CU12-1</f>
        <v>2.0352747787545145E-2</v>
      </c>
      <c r="CW53" s="217">
        <f>'Balance Sheet'!CW12/'Balance Sheet'!CV12-1</f>
        <v>3.2050977914069412E-2</v>
      </c>
      <c r="CX53" s="217">
        <f>'Balance Sheet'!CX12/'Balance Sheet'!CW12-1</f>
        <v>0.13505998333287539</v>
      </c>
      <c r="CY53" s="217">
        <f>'Balance Sheet'!CY12/'Balance Sheet'!CX12-1</f>
        <v>0.12773102165478134</v>
      </c>
      <c r="CZ53" s="217">
        <f>'Balance Sheet'!CZ12/'Balance Sheet'!CY12-1</f>
        <v>2.4881456530853718E-2</v>
      </c>
      <c r="DA53" s="216">
        <f t="shared" ref="DA53:DH56" si="44">(1+DA$17)*(1+DA$14)-1</f>
        <v>8.2383837964494777E-3</v>
      </c>
      <c r="DB53" s="216">
        <f t="shared" si="44"/>
        <v>8.3937254420483054E-3</v>
      </c>
      <c r="DC53" s="216">
        <f t="shared" si="44"/>
        <v>7.9057534988196121E-3</v>
      </c>
      <c r="DD53" s="216">
        <f t="shared" si="44"/>
        <v>7.6615015110583773E-3</v>
      </c>
      <c r="DE53" s="216">
        <f t="shared" si="44"/>
        <v>7.6615015110583773E-3</v>
      </c>
      <c r="DF53" s="216">
        <f t="shared" si="44"/>
        <v>7.1724639967380988E-3</v>
      </c>
      <c r="DG53" s="216">
        <f t="shared" si="44"/>
        <v>7.1724639967380988E-3</v>
      </c>
      <c r="DH53" s="216">
        <f t="shared" si="44"/>
        <v>7.4170717777328754E-3</v>
      </c>
      <c r="DI53" s="216">
        <f t="shared" ref="DI53:DX56" si="45">(1+DI$17)*(1+DI$14)-1</f>
        <v>7.4170717777328754E-3</v>
      </c>
      <c r="DJ53" s="216">
        <f t="shared" si="45"/>
        <v>7.4170717777328754E-3</v>
      </c>
      <c r="DK53" s="216">
        <f t="shared" si="45"/>
        <v>7.4170717777328754E-3</v>
      </c>
      <c r="DL53" s="216">
        <f t="shared" si="45"/>
        <v>7.4170717777328754E-3</v>
      </c>
      <c r="DM53" s="216">
        <f t="shared" si="45"/>
        <v>7.4170717777328754E-3</v>
      </c>
      <c r="DN53" s="216">
        <f t="shared" si="45"/>
        <v>7.4170717777328754E-3</v>
      </c>
      <c r="DO53" s="216">
        <f t="shared" si="45"/>
        <v>7.4170717777328754E-3</v>
      </c>
      <c r="DP53" s="216">
        <f t="shared" si="45"/>
        <v>7.4170717777328754E-3</v>
      </c>
      <c r="DQ53" s="216">
        <f t="shared" si="45"/>
        <v>7.4170717777328754E-3</v>
      </c>
      <c r="DR53" s="216">
        <f t="shared" si="45"/>
        <v>7.4170717777328754E-3</v>
      </c>
      <c r="DS53" s="216">
        <f t="shared" si="45"/>
        <v>7.4170717777328754E-3</v>
      </c>
      <c r="DT53" s="216">
        <f t="shared" si="45"/>
        <v>7.4170717777328754E-3</v>
      </c>
      <c r="DU53" s="216">
        <f t="shared" si="45"/>
        <v>7.4170717777328754E-3</v>
      </c>
      <c r="DV53" s="216">
        <f t="shared" si="45"/>
        <v>7.4170717777328754E-3</v>
      </c>
      <c r="DW53" s="216">
        <f t="shared" si="45"/>
        <v>7.4170717777328754E-3</v>
      </c>
      <c r="DX53" s="216">
        <f t="shared" si="45"/>
        <v>7.4170717777328754E-3</v>
      </c>
    </row>
    <row r="54" spans="1:128">
      <c r="A54" s="41" t="s">
        <v>233</v>
      </c>
      <c r="B54" s="217"/>
      <c r="C54" s="217"/>
      <c r="D54" s="217"/>
      <c r="E54" s="217"/>
      <c r="F54" s="217"/>
      <c r="G54" s="217"/>
      <c r="H54" s="217"/>
      <c r="I54" s="217"/>
      <c r="J54" s="217" t="e">
        <f>'Balance Sheet'!J15/'Balance Sheet'!I15-1</f>
        <v>#DIV/0!</v>
      </c>
      <c r="K54" s="217" t="e">
        <f>'Balance Sheet'!K15/'Balance Sheet'!J15-1</f>
        <v>#DIV/0!</v>
      </c>
      <c r="L54" s="217" t="e">
        <f>'Balance Sheet'!L15/'Balance Sheet'!K15-1</f>
        <v>#DIV/0!</v>
      </c>
      <c r="M54" s="217" t="e">
        <f>'Balance Sheet'!M15/'Balance Sheet'!L15-1</f>
        <v>#DIV/0!</v>
      </c>
      <c r="N54" s="217" t="e">
        <f>'Balance Sheet'!N15/'Balance Sheet'!M15-1</f>
        <v>#DIV/0!</v>
      </c>
      <c r="O54" s="217">
        <f>'Balance Sheet'!O15/'Balance Sheet'!N15-1</f>
        <v>-0.29104020851302115</v>
      </c>
      <c r="P54" s="217">
        <f>'Balance Sheet'!P15/'Balance Sheet'!O15-1</f>
        <v>-0.15807531594301238</v>
      </c>
      <c r="Q54" s="219">
        <f>'Balance Sheet'!Q15/'Balance Sheet'!P15-1</f>
        <v>0.54487269177145259</v>
      </c>
      <c r="R54" s="219">
        <f>'Balance Sheet'!R15/'Balance Sheet'!Q15-1</f>
        <v>-0.26374791993018032</v>
      </c>
      <c r="S54" s="219">
        <f>'Balance Sheet'!S15/'Balance Sheet'!R15-1</f>
        <v>-0.11381840140611865</v>
      </c>
      <c r="T54" s="217">
        <f>'Balance Sheet'!T15/'Balance Sheet'!S15-1</f>
        <v>0.32711417562360579</v>
      </c>
      <c r="U54" s="216">
        <f>'Balance Sheet'!U15/'Balance Sheet'!T15-1</f>
        <v>3.2590089289722624E-2</v>
      </c>
      <c r="V54" s="216">
        <f>'Balance Sheet'!V15/'Balance Sheet'!U15-1</f>
        <v>2.9749666269400787E-2</v>
      </c>
      <c r="W54" s="216">
        <f>'Balance Sheet'!W15/'Balance Sheet'!V15-1</f>
        <v>2.9999999999999805E-2</v>
      </c>
      <c r="X54" s="216">
        <f>'Balance Sheet'!X15/'Balance Sheet'!W15-1</f>
        <v>2.9999999999999805E-2</v>
      </c>
      <c r="Y54" s="216">
        <f>'Balance Sheet'!Y15/'Balance Sheet'!X15-1</f>
        <v>2.9999999999999805E-2</v>
      </c>
      <c r="Z54" s="216">
        <f>'Balance Sheet'!Z15/'Balance Sheet'!Y15-1</f>
        <v>2.9999999999999805E-2</v>
      </c>
      <c r="AA54" s="213"/>
      <c r="AB54" s="41" t="str">
        <f t="shared" si="43"/>
        <v>Due from customers on acceptances, % growth</v>
      </c>
      <c r="AC54" s="218"/>
      <c r="AD54" s="217" t="e">
        <f>'Balance Sheet'!AD15/'Balance Sheet'!AC15-1</f>
        <v>#DIV/0!</v>
      </c>
      <c r="AE54" s="217" t="e">
        <f>'Balance Sheet'!AE15/'Balance Sheet'!AD15-1</f>
        <v>#DIV/0!</v>
      </c>
      <c r="AF54" s="217" t="e">
        <f>'Balance Sheet'!AF15/'Balance Sheet'!AE15-1</f>
        <v>#DIV/0!</v>
      </c>
      <c r="AG54" s="217" t="e">
        <f>'Balance Sheet'!AG15/'Balance Sheet'!AF15-1</f>
        <v>#DIV/0!</v>
      </c>
      <c r="AH54" s="217" t="e">
        <f>'Balance Sheet'!AH15/'Balance Sheet'!AG15-1</f>
        <v>#DIV/0!</v>
      </c>
      <c r="AI54" s="217" t="e">
        <f>'Balance Sheet'!AI15/'Balance Sheet'!AH15-1</f>
        <v>#DIV/0!</v>
      </c>
      <c r="AJ54" s="217" t="e">
        <f>'Balance Sheet'!AJ15/'Balance Sheet'!AI15-1</f>
        <v>#DIV/0!</v>
      </c>
      <c r="AK54" s="217" t="e">
        <f>'Balance Sheet'!AK15/'Balance Sheet'!AJ15-1</f>
        <v>#DIV/0!</v>
      </c>
      <c r="AL54" s="217" t="e">
        <f>'Balance Sheet'!AL15/'Balance Sheet'!AK15-1</f>
        <v>#DIV/0!</v>
      </c>
      <c r="AM54" s="217" t="e">
        <f>'Balance Sheet'!AM15/'Balance Sheet'!AL15-1</f>
        <v>#DIV/0!</v>
      </c>
      <c r="AN54" s="217" t="e">
        <f>'Balance Sheet'!AN15/'Balance Sheet'!AM15-1</f>
        <v>#DIV/0!</v>
      </c>
      <c r="AO54" s="217" t="e">
        <f>'Balance Sheet'!AO15/'Balance Sheet'!AN15-1</f>
        <v>#DIV/0!</v>
      </c>
      <c r="AP54" s="217" t="e">
        <f>'Balance Sheet'!AP15/'Balance Sheet'!AO15-1</f>
        <v>#DIV/0!</v>
      </c>
      <c r="AQ54" s="217" t="e">
        <f>'Balance Sheet'!AQ15/'Balance Sheet'!AP15-1</f>
        <v>#DIV/0!</v>
      </c>
      <c r="AR54" s="217" t="e">
        <f>'Balance Sheet'!AR15/'Balance Sheet'!AQ15-1</f>
        <v>#DIV/0!</v>
      </c>
      <c r="AS54" s="217" t="e">
        <f>'Balance Sheet'!AS15/'Balance Sheet'!AR15-1</f>
        <v>#DIV/0!</v>
      </c>
      <c r="AT54" s="217" t="e">
        <f>'Balance Sheet'!AT15/'Balance Sheet'!AS15-1</f>
        <v>#DIV/0!</v>
      </c>
      <c r="AU54" s="217" t="e">
        <f>'Balance Sheet'!AU15/'Balance Sheet'!AT15-1</f>
        <v>#DIV/0!</v>
      </c>
      <c r="AV54" s="217" t="e">
        <f>'Balance Sheet'!AV15/'Balance Sheet'!AU15-1</f>
        <v>#DIV/0!</v>
      </c>
      <c r="AW54" s="217" t="e">
        <f>'Balance Sheet'!AW15/'Balance Sheet'!AV15-1</f>
        <v>#DIV/0!</v>
      </c>
      <c r="AX54" s="217" t="e">
        <f>'Balance Sheet'!AX15/'Balance Sheet'!AW15-1</f>
        <v>#DIV/0!</v>
      </c>
      <c r="AY54" s="217" t="e">
        <f>'Balance Sheet'!AY15/'Balance Sheet'!AX15-1</f>
        <v>#DIV/0!</v>
      </c>
      <c r="AZ54" s="217" t="e">
        <f>'Balance Sheet'!AZ15/'Balance Sheet'!AY15-1</f>
        <v>#DIV/0!</v>
      </c>
      <c r="BA54" s="217" t="e">
        <f>'Balance Sheet'!BA15/'Balance Sheet'!AZ15-1</f>
        <v>#DIV/0!</v>
      </c>
      <c r="BB54" s="217" t="e">
        <f>'Balance Sheet'!BB15/'Balance Sheet'!BA15-1</f>
        <v>#DIV/0!</v>
      </c>
      <c r="BC54" s="217" t="e">
        <f>'Balance Sheet'!BC15/'Balance Sheet'!BB15-1</f>
        <v>#DIV/0!</v>
      </c>
      <c r="BD54" s="217" t="e">
        <f>'Balance Sheet'!BD15/'Balance Sheet'!BC15-1</f>
        <v>#DIV/0!</v>
      </c>
      <c r="BE54" s="217" t="e">
        <f>'Balance Sheet'!BE15/'Balance Sheet'!BD15-1</f>
        <v>#DIV/0!</v>
      </c>
      <c r="BF54" s="217" t="e">
        <f>'Balance Sheet'!BF15/'Balance Sheet'!BE15-1</f>
        <v>#DIV/0!</v>
      </c>
      <c r="BG54" s="217" t="e">
        <f>'Balance Sheet'!BG15/'Balance Sheet'!BF15-1</f>
        <v>#DIV/0!</v>
      </c>
      <c r="BH54" s="217" t="e">
        <f>'Balance Sheet'!BH15/'Balance Sheet'!BG15-1</f>
        <v>#DIV/0!</v>
      </c>
      <c r="BI54" s="217" t="e">
        <f>'Balance Sheet'!BI15/'Balance Sheet'!BH15-1</f>
        <v>#DIV/0!</v>
      </c>
      <c r="BJ54" s="217" t="e">
        <f>'Balance Sheet'!BJ15/'Balance Sheet'!BI15-1</f>
        <v>#DIV/0!</v>
      </c>
      <c r="BK54" s="217" t="e">
        <f>'Balance Sheet'!BK15/'Balance Sheet'!BJ15-1</f>
        <v>#DIV/0!</v>
      </c>
      <c r="BL54" s="217" t="e">
        <f>'Balance Sheet'!BL15/'Balance Sheet'!BK15-1</f>
        <v>#DIV/0!</v>
      </c>
      <c r="BM54" s="217" t="e">
        <f>'Balance Sheet'!BM15/'Balance Sheet'!BL15-1</f>
        <v>#DIV/0!</v>
      </c>
      <c r="BN54" s="217" t="e">
        <f>'Balance Sheet'!BN15/'Balance Sheet'!BM15-1</f>
        <v>#DIV/0!</v>
      </c>
      <c r="BO54" s="217" t="e">
        <f>'Balance Sheet'!BO15/'Balance Sheet'!BN15-1</f>
        <v>#DIV/0!</v>
      </c>
      <c r="BP54" s="217" t="e">
        <f>'Balance Sheet'!BP15/'Balance Sheet'!BO15-1</f>
        <v>#DIV/0!</v>
      </c>
      <c r="BQ54" s="217" t="e">
        <f>'Balance Sheet'!BQ15/'Balance Sheet'!BP15-1</f>
        <v>#DIV/0!</v>
      </c>
      <c r="BR54" s="217" t="e">
        <f>'Balance Sheet'!BR15/'Balance Sheet'!BQ15-1</f>
        <v>#DIV/0!</v>
      </c>
      <c r="BS54" s="217" t="e">
        <f>'Balance Sheet'!BS15/'Balance Sheet'!BR15-1</f>
        <v>#DIV/0!</v>
      </c>
      <c r="BT54" s="217" t="e">
        <f>'Balance Sheet'!BT15/'Balance Sheet'!BS15-1</f>
        <v>#DIV/0!</v>
      </c>
      <c r="BU54" s="217" t="e">
        <f>'Balance Sheet'!BU15/'Balance Sheet'!BT15-1</f>
        <v>#DIV/0!</v>
      </c>
      <c r="BV54" s="217" t="e">
        <f>'Balance Sheet'!BV15/'Balance Sheet'!BU15-1</f>
        <v>#DIV/0!</v>
      </c>
      <c r="BW54" s="217" t="e">
        <f>'Balance Sheet'!BW15/'Balance Sheet'!BV15-1</f>
        <v>#DIV/0!</v>
      </c>
      <c r="BX54" s="217" t="e">
        <f>'Balance Sheet'!BX15/'Balance Sheet'!BW15-1</f>
        <v>#DIV/0!</v>
      </c>
      <c r="BY54" s="217" t="e">
        <f>'Balance Sheet'!BY15/'Balance Sheet'!BX15-1</f>
        <v>#DIV/0!</v>
      </c>
      <c r="BZ54" s="217">
        <f>'Balance Sheet'!BZ15/'Balance Sheet'!BY15-1</f>
        <v>-0.25064412330509422</v>
      </c>
      <c r="CA54" s="217">
        <f>'Balance Sheet'!CA15/'Balance Sheet'!BZ15-1</f>
        <v>-0.61591530833245589</v>
      </c>
      <c r="CB54" s="217">
        <f>'Balance Sheet'!CB15/'Balance Sheet'!CA15-1</f>
        <v>0.5120895859722947</v>
      </c>
      <c r="CC54" s="217">
        <f>'Balance Sheet'!CC15/'Balance Sheet'!CB15-1</f>
        <v>-0.19667701406608351</v>
      </c>
      <c r="CD54" s="217">
        <f>'Balance Sheet'!CD15/'Balance Sheet'!CC15-1</f>
        <v>-0.20024614534765883</v>
      </c>
      <c r="CE54" s="217">
        <f>'Balance Sheet'!CE15/'Balance Sheet'!CD15-1</f>
        <v>-9.8632313377453484E-2</v>
      </c>
      <c r="CF54" s="217">
        <f>'Balance Sheet'!CF15/'Balance Sheet'!CE15-1</f>
        <v>0.2242583766974291</v>
      </c>
      <c r="CG54" s="217">
        <f>'Balance Sheet'!CG15/'Balance Sheet'!CF15-1</f>
        <v>-0.23770194056141125</v>
      </c>
      <c r="CH54" s="217">
        <f>'Balance Sheet'!CH15/'Balance Sheet'!CG15-1</f>
        <v>0.1941581324473356</v>
      </c>
      <c r="CI54" s="217">
        <f>'Balance Sheet'!CI15/'Balance Sheet'!CH15-1</f>
        <v>0.29869451900964861</v>
      </c>
      <c r="CJ54" s="217">
        <f>'Balance Sheet'!CJ15/'Balance Sheet'!CI15-1</f>
        <v>-0.28783671510239939</v>
      </c>
      <c r="CK54" s="217">
        <f>'Balance Sheet'!CK15/'Balance Sheet'!CJ15-1</f>
        <v>-7.7924578098260922E-2</v>
      </c>
      <c r="CL54" s="217">
        <f>'Balance Sheet'!CL15/'Balance Sheet'!CK15-1</f>
        <v>0.15511126128772545</v>
      </c>
      <c r="CM54" s="217">
        <f>'Balance Sheet'!CM15/'Balance Sheet'!CL15-1</f>
        <v>-0.27570092874285723</v>
      </c>
      <c r="CN54" s="217">
        <f>'Balance Sheet'!CN15/'Balance Sheet'!CM15-1</f>
        <v>1.002555237144803</v>
      </c>
      <c r="CO54" s="217">
        <f>'Balance Sheet'!CO15/'Balance Sheet'!CN15-1</f>
        <v>-0.47833143594663774</v>
      </c>
      <c r="CP54" s="217">
        <f>'Balance Sheet'!CP15/'Balance Sheet'!CO15-1</f>
        <v>4.314322572788587E-2</v>
      </c>
      <c r="CQ54" s="217">
        <f>'Balance Sheet'!CQ15/'Balance Sheet'!CP15-1</f>
        <v>0.28533634055193779</v>
      </c>
      <c r="CR54" s="217">
        <f>'Balance Sheet'!CR15/'Balance Sheet'!CQ15-1</f>
        <v>5.2618841231228508E-2</v>
      </c>
      <c r="CS54" s="217">
        <f>'Balance Sheet'!CS15/'Balance Sheet'!CR15-1</f>
        <v>-0.28197481399434887</v>
      </c>
      <c r="CT54" s="217">
        <f>'Balance Sheet'!CT15/'Balance Sheet'!CS15-1</f>
        <v>0.12558800362188149</v>
      </c>
      <c r="CU54" s="217">
        <f>'Balance Sheet'!CU15/'Balance Sheet'!CT15-1</f>
        <v>0.14902453221365453</v>
      </c>
      <c r="CV54" s="217">
        <f>'Balance Sheet'!CV15/'Balance Sheet'!CU15-1</f>
        <v>-4.5723360294159465E-2</v>
      </c>
      <c r="CW54" s="217">
        <f>'Balance Sheet'!CW15/'Balance Sheet'!CV15-1</f>
        <v>1.089147887912012E-2</v>
      </c>
      <c r="CX54" s="217">
        <f>'Balance Sheet'!CX15/'Balance Sheet'!CW15-1</f>
        <v>-0.10342223271182438</v>
      </c>
      <c r="CY54" s="217">
        <f>'Balance Sheet'!CY15/'Balance Sheet'!CX15-1</f>
        <v>0.32513556912709274</v>
      </c>
      <c r="CZ54" s="217">
        <f>'Balance Sheet'!CZ15/'Balance Sheet'!CY15-1</f>
        <v>0.10498269243184999</v>
      </c>
      <c r="DA54" s="216">
        <f t="shared" si="44"/>
        <v>8.2383837964494777E-3</v>
      </c>
      <c r="DB54" s="216">
        <f t="shared" si="44"/>
        <v>8.3937254420483054E-3</v>
      </c>
      <c r="DC54" s="216">
        <f t="shared" si="44"/>
        <v>7.9057534988196121E-3</v>
      </c>
      <c r="DD54" s="216">
        <f t="shared" si="44"/>
        <v>7.6615015110583773E-3</v>
      </c>
      <c r="DE54" s="216">
        <f t="shared" si="44"/>
        <v>7.6615015110583773E-3</v>
      </c>
      <c r="DF54" s="216">
        <f t="shared" si="44"/>
        <v>7.1724639967380988E-3</v>
      </c>
      <c r="DG54" s="216">
        <f t="shared" si="44"/>
        <v>7.1724639967380988E-3</v>
      </c>
      <c r="DH54" s="216">
        <f t="shared" si="44"/>
        <v>7.4170717777328754E-3</v>
      </c>
      <c r="DI54" s="216">
        <f t="shared" si="45"/>
        <v>7.4170717777328754E-3</v>
      </c>
      <c r="DJ54" s="216">
        <f t="shared" si="45"/>
        <v>7.4170717777328754E-3</v>
      </c>
      <c r="DK54" s="216">
        <f t="shared" si="45"/>
        <v>7.4170717777328754E-3</v>
      </c>
      <c r="DL54" s="216">
        <f t="shared" si="45"/>
        <v>7.4170717777328754E-3</v>
      </c>
      <c r="DM54" s="216">
        <f t="shared" si="45"/>
        <v>7.4170717777328754E-3</v>
      </c>
      <c r="DN54" s="216">
        <f t="shared" si="45"/>
        <v>7.4170717777328754E-3</v>
      </c>
      <c r="DO54" s="216">
        <f t="shared" si="45"/>
        <v>7.4170717777328754E-3</v>
      </c>
      <c r="DP54" s="216">
        <f t="shared" si="45"/>
        <v>7.4170717777328754E-3</v>
      </c>
      <c r="DQ54" s="216">
        <f t="shared" si="45"/>
        <v>7.4170717777328754E-3</v>
      </c>
      <c r="DR54" s="216">
        <f t="shared" si="45"/>
        <v>7.4170717777328754E-3</v>
      </c>
      <c r="DS54" s="216">
        <f t="shared" si="45"/>
        <v>7.4170717777328754E-3</v>
      </c>
      <c r="DT54" s="216">
        <f t="shared" si="45"/>
        <v>7.4170717777328754E-3</v>
      </c>
      <c r="DU54" s="216">
        <f t="shared" si="45"/>
        <v>7.4170717777328754E-3</v>
      </c>
      <c r="DV54" s="216">
        <f t="shared" si="45"/>
        <v>7.4170717777328754E-3</v>
      </c>
      <c r="DW54" s="216">
        <f t="shared" si="45"/>
        <v>7.4170717777328754E-3</v>
      </c>
      <c r="DX54" s="216">
        <f t="shared" si="45"/>
        <v>7.4170717777328754E-3</v>
      </c>
    </row>
    <row r="55" spans="1:128">
      <c r="A55" s="41" t="s">
        <v>232</v>
      </c>
      <c r="B55" s="217"/>
      <c r="C55" s="217"/>
      <c r="D55" s="217"/>
      <c r="E55" s="217"/>
      <c r="F55" s="217"/>
      <c r="G55" s="217"/>
      <c r="H55" s="217"/>
      <c r="I55" s="217"/>
      <c r="J55" s="217" t="e">
        <f>'Balance Sheet'!J16/'Balance Sheet'!I16-1</f>
        <v>#DIV/0!</v>
      </c>
      <c r="K55" s="217" t="e">
        <f>'Balance Sheet'!K16/'Balance Sheet'!J16-1</f>
        <v>#DIV/0!</v>
      </c>
      <c r="L55" s="217" t="e">
        <f>'Balance Sheet'!L16/'Balance Sheet'!K16-1</f>
        <v>#DIV/0!</v>
      </c>
      <c r="M55" s="217" t="e">
        <f>'Balance Sheet'!M16/'Balance Sheet'!L16-1</f>
        <v>#DIV/0!</v>
      </c>
      <c r="N55" s="217" t="e">
        <f>'Balance Sheet'!N16/'Balance Sheet'!M16-1</f>
        <v>#DIV/0!</v>
      </c>
      <c r="O55" s="217">
        <f>'Balance Sheet'!O16/'Balance Sheet'!N16-1</f>
        <v>0.58171255054132032</v>
      </c>
      <c r="P55" s="217">
        <f>'Balance Sheet'!P16/'Balance Sheet'!O16-1</f>
        <v>-0.36581720705974607</v>
      </c>
      <c r="Q55" s="219">
        <f>'Balance Sheet'!Q16/'Balance Sheet'!P16-1</f>
        <v>2.4089440610377424</v>
      </c>
      <c r="R55" s="219">
        <f>'Balance Sheet'!R16/'Balance Sheet'!Q16-1</f>
        <v>1.5092577738017741</v>
      </c>
      <c r="S55" s="219">
        <f>'Balance Sheet'!S16/'Balance Sheet'!R16-1</f>
        <v>0.61980251058016234</v>
      </c>
      <c r="T55" s="217">
        <f>'Balance Sheet'!T16/'Balance Sheet'!S16-1</f>
        <v>-5.3468260279375568E-2</v>
      </c>
      <c r="U55" s="216">
        <f>'Balance Sheet'!U16/'Balance Sheet'!T16-1</f>
        <v>3.2590089289722624E-2</v>
      </c>
      <c r="V55" s="216">
        <f>'Balance Sheet'!V16/'Balance Sheet'!U16-1</f>
        <v>2.9749666269401009E-2</v>
      </c>
      <c r="W55" s="216">
        <f>'Balance Sheet'!W16/'Balance Sheet'!V16-1</f>
        <v>2.9999999999999583E-2</v>
      </c>
      <c r="X55" s="216">
        <f>'Balance Sheet'!X16/'Balance Sheet'!W16-1</f>
        <v>2.9999999999999583E-2</v>
      </c>
      <c r="Y55" s="216">
        <f>'Balance Sheet'!Y16/'Balance Sheet'!X16-1</f>
        <v>2.9999999999999805E-2</v>
      </c>
      <c r="Z55" s="216">
        <f>'Balance Sheet'!Z16/'Balance Sheet'!Y16-1</f>
        <v>2.9999999999999805E-2</v>
      </c>
      <c r="AA55" s="213"/>
      <c r="AB55" s="41" t="str">
        <f t="shared" si="43"/>
        <v>Marketable securities, % growth</v>
      </c>
      <c r="AC55" s="218">
        <v>0</v>
      </c>
      <c r="AD55" s="217" t="e">
        <f>'Balance Sheet'!AD16/'Balance Sheet'!AC16-1</f>
        <v>#DIV/0!</v>
      </c>
      <c r="AE55" s="217" t="e">
        <f>'Balance Sheet'!AE16/'Balance Sheet'!AD16-1</f>
        <v>#DIV/0!</v>
      </c>
      <c r="AF55" s="217" t="e">
        <f>'Balance Sheet'!AF16/'Balance Sheet'!AE16-1</f>
        <v>#DIV/0!</v>
      </c>
      <c r="AG55" s="217" t="e">
        <f>'Balance Sheet'!AG16/'Balance Sheet'!AF16-1</f>
        <v>#DIV/0!</v>
      </c>
      <c r="AH55" s="217" t="e">
        <f>'Balance Sheet'!AH16/'Balance Sheet'!AG16-1</f>
        <v>#DIV/0!</v>
      </c>
      <c r="AI55" s="217" t="e">
        <f>'Balance Sheet'!AI16/'Balance Sheet'!AH16-1</f>
        <v>#DIV/0!</v>
      </c>
      <c r="AJ55" s="217" t="e">
        <f>'Balance Sheet'!AJ16/'Balance Sheet'!AI16-1</f>
        <v>#DIV/0!</v>
      </c>
      <c r="AK55" s="217" t="e">
        <f>'Balance Sheet'!AK16/'Balance Sheet'!AJ16-1</f>
        <v>#DIV/0!</v>
      </c>
      <c r="AL55" s="217" t="e">
        <f>'Balance Sheet'!AL16/'Balance Sheet'!AK16-1</f>
        <v>#DIV/0!</v>
      </c>
      <c r="AM55" s="217" t="e">
        <f>'Balance Sheet'!AM16/'Balance Sheet'!AL16-1</f>
        <v>#DIV/0!</v>
      </c>
      <c r="AN55" s="217" t="e">
        <f>'Balance Sheet'!AN16/'Balance Sheet'!AM16-1</f>
        <v>#DIV/0!</v>
      </c>
      <c r="AO55" s="217" t="e">
        <f>'Balance Sheet'!AO16/'Balance Sheet'!AN16-1</f>
        <v>#DIV/0!</v>
      </c>
      <c r="AP55" s="217" t="e">
        <f>'Balance Sheet'!AP16/'Balance Sheet'!AO16-1</f>
        <v>#DIV/0!</v>
      </c>
      <c r="AQ55" s="217" t="e">
        <f>'Balance Sheet'!AQ16/'Balance Sheet'!AP16-1</f>
        <v>#DIV/0!</v>
      </c>
      <c r="AR55" s="217" t="e">
        <f>'Balance Sheet'!AR16/'Balance Sheet'!AQ16-1</f>
        <v>#DIV/0!</v>
      </c>
      <c r="AS55" s="217" t="e">
        <f>'Balance Sheet'!AS16/'Balance Sheet'!AR16-1</f>
        <v>#DIV/0!</v>
      </c>
      <c r="AT55" s="217" t="e">
        <f>'Balance Sheet'!AT16/'Balance Sheet'!AS16-1</f>
        <v>#DIV/0!</v>
      </c>
      <c r="AU55" s="217" t="e">
        <f>'Balance Sheet'!AU16/'Balance Sheet'!AT16-1</f>
        <v>#DIV/0!</v>
      </c>
      <c r="AV55" s="217" t="e">
        <f>'Balance Sheet'!AV16/'Balance Sheet'!AU16-1</f>
        <v>#DIV/0!</v>
      </c>
      <c r="AW55" s="217" t="e">
        <f>'Balance Sheet'!AW16/'Balance Sheet'!AV16-1</f>
        <v>#DIV/0!</v>
      </c>
      <c r="AX55" s="217" t="e">
        <f>'Balance Sheet'!AX16/'Balance Sheet'!AW16-1</f>
        <v>#DIV/0!</v>
      </c>
      <c r="AY55" s="217" t="e">
        <f>'Balance Sheet'!AY16/'Balance Sheet'!AX16-1</f>
        <v>#DIV/0!</v>
      </c>
      <c r="AZ55" s="217" t="e">
        <f>'Balance Sheet'!AZ16/'Balance Sheet'!AY16-1</f>
        <v>#DIV/0!</v>
      </c>
      <c r="BA55" s="217" t="e">
        <f>'Balance Sheet'!BA16/'Balance Sheet'!AZ16-1</f>
        <v>#DIV/0!</v>
      </c>
      <c r="BB55" s="217" t="e">
        <f>'Balance Sheet'!BB16/'Balance Sheet'!BA16-1</f>
        <v>#DIV/0!</v>
      </c>
      <c r="BC55" s="217" t="e">
        <f>'Balance Sheet'!BC16/'Balance Sheet'!BB16-1</f>
        <v>#DIV/0!</v>
      </c>
      <c r="BD55" s="217" t="e">
        <f>'Balance Sheet'!BD16/'Balance Sheet'!BC16-1</f>
        <v>#DIV/0!</v>
      </c>
      <c r="BE55" s="217" t="e">
        <f>'Balance Sheet'!BE16/'Balance Sheet'!BD16-1</f>
        <v>#DIV/0!</v>
      </c>
      <c r="BF55" s="217" t="e">
        <f>'Balance Sheet'!BF16/'Balance Sheet'!BE16-1</f>
        <v>#DIV/0!</v>
      </c>
      <c r="BG55" s="217" t="e">
        <f>'Balance Sheet'!BG16/'Balance Sheet'!BF16-1</f>
        <v>#DIV/0!</v>
      </c>
      <c r="BH55" s="217" t="e">
        <f>'Balance Sheet'!BH16/'Balance Sheet'!BG16-1</f>
        <v>#DIV/0!</v>
      </c>
      <c r="BI55" s="217" t="e">
        <f>'Balance Sheet'!BI16/'Balance Sheet'!BH16-1</f>
        <v>#DIV/0!</v>
      </c>
      <c r="BJ55" s="217" t="e">
        <f>'Balance Sheet'!BJ16/'Balance Sheet'!BI16-1</f>
        <v>#DIV/0!</v>
      </c>
      <c r="BK55" s="217" t="e">
        <f>'Balance Sheet'!BK16/'Balance Sheet'!BJ16-1</f>
        <v>#DIV/0!</v>
      </c>
      <c r="BL55" s="217" t="e">
        <f>'Balance Sheet'!BL16/'Balance Sheet'!BK16-1</f>
        <v>#DIV/0!</v>
      </c>
      <c r="BM55" s="217" t="e">
        <f>'Balance Sheet'!BM16/'Balance Sheet'!BL16-1</f>
        <v>#DIV/0!</v>
      </c>
      <c r="BN55" s="217" t="e">
        <f>'Balance Sheet'!BN16/'Balance Sheet'!BM16-1</f>
        <v>#DIV/0!</v>
      </c>
      <c r="BO55" s="217" t="e">
        <f>'Balance Sheet'!BO16/'Balance Sheet'!BN16-1</f>
        <v>#DIV/0!</v>
      </c>
      <c r="BP55" s="217" t="e">
        <f>'Balance Sheet'!BP16/'Balance Sheet'!BO16-1</f>
        <v>#DIV/0!</v>
      </c>
      <c r="BQ55" s="217" t="e">
        <f>'Balance Sheet'!BQ16/'Balance Sheet'!BP16-1</f>
        <v>#DIV/0!</v>
      </c>
      <c r="BR55" s="217" t="e">
        <f>'Balance Sheet'!BR16/'Balance Sheet'!BQ16-1</f>
        <v>#DIV/0!</v>
      </c>
      <c r="BS55" s="217" t="e">
        <f>'Balance Sheet'!BS16/'Balance Sheet'!BR16-1</f>
        <v>#DIV/0!</v>
      </c>
      <c r="BT55" s="217" t="e">
        <f>'Balance Sheet'!BT16/'Balance Sheet'!BS16-1</f>
        <v>#DIV/0!</v>
      </c>
      <c r="BU55" s="217" t="e">
        <f>'Balance Sheet'!BU16/'Balance Sheet'!BT16-1</f>
        <v>#DIV/0!</v>
      </c>
      <c r="BV55" s="217" t="e">
        <f>'Balance Sheet'!BV16/'Balance Sheet'!BU16-1</f>
        <v>#DIV/0!</v>
      </c>
      <c r="BW55" s="217" t="e">
        <f>'Balance Sheet'!BW16/'Balance Sheet'!BV16-1</f>
        <v>#DIV/0!</v>
      </c>
      <c r="BX55" s="217" t="e">
        <f>'Balance Sheet'!BX16/'Balance Sheet'!BW16-1</f>
        <v>#DIV/0!</v>
      </c>
      <c r="BY55" s="217" t="e">
        <f>'Balance Sheet'!BY16/'Balance Sheet'!BX16-1</f>
        <v>#DIV/0!</v>
      </c>
      <c r="BZ55" s="217">
        <f>'Balance Sheet'!BZ16/'Balance Sheet'!BY16-1</f>
        <v>0.25741342961247216</v>
      </c>
      <c r="CA55" s="217">
        <f>'Balance Sheet'!CA16/'Balance Sheet'!BZ16-1</f>
        <v>1.1719237268430867</v>
      </c>
      <c r="CB55" s="217">
        <f>'Balance Sheet'!CB16/'Balance Sheet'!CA16-1</f>
        <v>-0.21460733913244001</v>
      </c>
      <c r="CC55" s="217">
        <f>'Balance Sheet'!CC16/'Balance Sheet'!CB16-1</f>
        <v>0.52838027573946067</v>
      </c>
      <c r="CD55" s="217">
        <f>'Balance Sheet'!CD16/'Balance Sheet'!CC16-1</f>
        <v>-0.45374745855664222</v>
      </c>
      <c r="CE55" s="217">
        <f>'Balance Sheet'!CE16/'Balance Sheet'!CD16-1</f>
        <v>0.21534716119218822</v>
      </c>
      <c r="CF55" s="217">
        <f>'Balance Sheet'!CF16/'Balance Sheet'!CE16-1</f>
        <v>0.55884277667406912</v>
      </c>
      <c r="CG55" s="217">
        <f>'Balance Sheet'!CG16/'Balance Sheet'!CF16-1</f>
        <v>-0.13209095564087281</v>
      </c>
      <c r="CH55" s="217">
        <f>'Balance Sheet'!CH16/'Balance Sheet'!CG16-1</f>
        <v>-2.9383431241069458E-2</v>
      </c>
      <c r="CI55" s="217">
        <f>'Balance Sheet'!CI16/'Balance Sheet'!CH16-1</f>
        <v>0.21138058390126213</v>
      </c>
      <c r="CJ55" s="217">
        <f>'Balance Sheet'!CJ16/'Balance Sheet'!CI16-1</f>
        <v>-0.37854178813604256</v>
      </c>
      <c r="CK55" s="217">
        <f>'Balance Sheet'!CK16/'Balance Sheet'!CJ16-1</f>
        <v>1.1009068647897355</v>
      </c>
      <c r="CL55" s="217">
        <f>'Balance Sheet'!CL16/'Balance Sheet'!CK16-1</f>
        <v>0.90431780959708519</v>
      </c>
      <c r="CM55" s="217">
        <f>'Balance Sheet'!CM16/'Balance Sheet'!CL16-1</f>
        <v>-0.20888622630644071</v>
      </c>
      <c r="CN55" s="217">
        <f>'Balance Sheet'!CN16/'Balance Sheet'!CM16-1</f>
        <v>7.7047109879046616E-2</v>
      </c>
      <c r="CO55" s="217">
        <f>'Balance Sheet'!CO16/'Balance Sheet'!CN16-1</f>
        <v>0.29662882691424475</v>
      </c>
      <c r="CP55" s="217">
        <f>'Balance Sheet'!CP16/'Balance Sheet'!CO16-1</f>
        <v>-0.11562285780693049</v>
      </c>
      <c r="CQ55" s="217">
        <f>'Balance Sheet'!CQ16/'Balance Sheet'!CP16-1</f>
        <v>-7.3249655467300112E-3</v>
      </c>
      <c r="CR55" s="217">
        <f>'Balance Sheet'!CR16/'Balance Sheet'!CQ16-1</f>
        <v>1.2043725625630994</v>
      </c>
      <c r="CS55" s="217">
        <f>'Balance Sheet'!CS16/'Balance Sheet'!CR16-1</f>
        <v>4.295286903430795E-2</v>
      </c>
      <c r="CT55" s="217">
        <f>'Balance Sheet'!CT16/'Balance Sheet'!CS16-1</f>
        <v>0.23668145466382784</v>
      </c>
      <c r="CU55" s="217">
        <f>'Balance Sheet'!CU16/'Balance Sheet'!CT16-1</f>
        <v>0.44938926705376869</v>
      </c>
      <c r="CV55" s="217">
        <f>'Balance Sheet'!CV16/'Balance Sheet'!CU16-1</f>
        <v>-0.13352807494177388</v>
      </c>
      <c r="CW55" s="217">
        <f>'Balance Sheet'!CW16/'Balance Sheet'!CV16-1</f>
        <v>8.0702666225753728E-3</v>
      </c>
      <c r="CX55" s="217">
        <f>'Balance Sheet'!CX16/'Balance Sheet'!CW16-1</f>
        <v>-0.25155589491001096</v>
      </c>
      <c r="CY55" s="217">
        <f>'Balance Sheet'!CY16/'Balance Sheet'!CX16-1</f>
        <v>0.22396558981547132</v>
      </c>
      <c r="CZ55" s="217">
        <f>'Balance Sheet'!CZ16/'Balance Sheet'!CY16-1</f>
        <v>2.4980954787220844E-2</v>
      </c>
      <c r="DA55" s="216">
        <f t="shared" si="44"/>
        <v>8.2383837964494777E-3</v>
      </c>
      <c r="DB55" s="216">
        <f t="shared" si="44"/>
        <v>8.3937254420483054E-3</v>
      </c>
      <c r="DC55" s="216">
        <f t="shared" si="44"/>
        <v>7.9057534988196121E-3</v>
      </c>
      <c r="DD55" s="216">
        <f t="shared" si="44"/>
        <v>7.6615015110583773E-3</v>
      </c>
      <c r="DE55" s="216">
        <f t="shared" si="44"/>
        <v>7.6615015110583773E-3</v>
      </c>
      <c r="DF55" s="216">
        <f t="shared" si="44"/>
        <v>7.1724639967380988E-3</v>
      </c>
      <c r="DG55" s="216">
        <f t="shared" si="44"/>
        <v>7.1724639967380988E-3</v>
      </c>
      <c r="DH55" s="216">
        <f t="shared" si="44"/>
        <v>7.4170717777328754E-3</v>
      </c>
      <c r="DI55" s="216">
        <f t="shared" si="45"/>
        <v>7.4170717777328754E-3</v>
      </c>
      <c r="DJ55" s="216">
        <f t="shared" si="45"/>
        <v>7.4170717777328754E-3</v>
      </c>
      <c r="DK55" s="216">
        <f t="shared" si="45"/>
        <v>7.4170717777328754E-3</v>
      </c>
      <c r="DL55" s="216">
        <f t="shared" si="45"/>
        <v>7.4170717777328754E-3</v>
      </c>
      <c r="DM55" s="216">
        <f t="shared" si="45"/>
        <v>7.4170717777328754E-3</v>
      </c>
      <c r="DN55" s="216">
        <f t="shared" si="45"/>
        <v>7.4170717777328754E-3</v>
      </c>
      <c r="DO55" s="216">
        <f t="shared" si="45"/>
        <v>7.4170717777328754E-3</v>
      </c>
      <c r="DP55" s="216">
        <f t="shared" si="45"/>
        <v>7.4170717777328754E-3</v>
      </c>
      <c r="DQ55" s="216">
        <f t="shared" si="45"/>
        <v>7.4170717777328754E-3</v>
      </c>
      <c r="DR55" s="216">
        <f t="shared" si="45"/>
        <v>7.4170717777328754E-3</v>
      </c>
      <c r="DS55" s="216">
        <f t="shared" si="45"/>
        <v>7.4170717777328754E-3</v>
      </c>
      <c r="DT55" s="216">
        <f t="shared" si="45"/>
        <v>7.4170717777328754E-3</v>
      </c>
      <c r="DU55" s="216">
        <f t="shared" si="45"/>
        <v>7.4170717777328754E-3</v>
      </c>
      <c r="DV55" s="216">
        <f t="shared" si="45"/>
        <v>7.4170717777328754E-3</v>
      </c>
      <c r="DW55" s="216">
        <f t="shared" si="45"/>
        <v>7.4170717777328754E-3</v>
      </c>
      <c r="DX55" s="216">
        <f t="shared" si="45"/>
        <v>7.4170717777328754E-3</v>
      </c>
    </row>
    <row r="56" spans="1:128">
      <c r="A56" s="41" t="s">
        <v>231</v>
      </c>
      <c r="B56" s="217"/>
      <c r="C56" s="217"/>
      <c r="D56" s="217"/>
      <c r="E56" s="217"/>
      <c r="F56" s="217"/>
      <c r="G56" s="217"/>
      <c r="H56" s="217"/>
      <c r="I56" s="217"/>
      <c r="J56" s="217" t="e">
        <f>'Balance Sheet'!J17/'Balance Sheet'!I17-1</f>
        <v>#DIV/0!</v>
      </c>
      <c r="K56" s="217" t="e">
        <f>'Balance Sheet'!K17/'Balance Sheet'!J17-1</f>
        <v>#DIV/0!</v>
      </c>
      <c r="L56" s="217" t="e">
        <f>'Balance Sheet'!L17/'Balance Sheet'!K17-1</f>
        <v>#DIV/0!</v>
      </c>
      <c r="M56" s="217" t="e">
        <f>'Balance Sheet'!M17/'Balance Sheet'!L17-1</f>
        <v>#DIV/0!</v>
      </c>
      <c r="N56" s="217" t="e">
        <f>'Balance Sheet'!N17/'Balance Sheet'!M17-1</f>
        <v>#DIV/0!</v>
      </c>
      <c r="O56" s="217">
        <f>'Balance Sheet'!O17/'Balance Sheet'!N17-1</f>
        <v>-0.27545937949211208</v>
      </c>
      <c r="P56" s="217">
        <f>'Balance Sheet'!P17/'Balance Sheet'!O17-1</f>
        <v>0.51344517956467373</v>
      </c>
      <c r="Q56" s="219">
        <f>'Balance Sheet'!Q17/'Balance Sheet'!P17-1</f>
        <v>0.21764567833876058</v>
      </c>
      <c r="R56" s="219">
        <f>'Balance Sheet'!R17/'Balance Sheet'!Q17-1</f>
        <v>-2.96913426982367E-2</v>
      </c>
      <c r="S56" s="219">
        <f>'Balance Sheet'!S17/'Balance Sheet'!R17-1</f>
        <v>-2.7059708739519017E-2</v>
      </c>
      <c r="T56" s="217">
        <f>'Balance Sheet'!T17/'Balance Sheet'!S17-1</f>
        <v>0.24505257145994985</v>
      </c>
      <c r="U56" s="216">
        <f>'Balance Sheet'!U17/'Balance Sheet'!T17-1</f>
        <v>3.2590089289722846E-2</v>
      </c>
      <c r="V56" s="216">
        <f>'Balance Sheet'!V17/'Balance Sheet'!U17-1</f>
        <v>2.9749666269401009E-2</v>
      </c>
      <c r="W56" s="216">
        <f>'Balance Sheet'!W17/'Balance Sheet'!V17-1</f>
        <v>2.9999999999999805E-2</v>
      </c>
      <c r="X56" s="216">
        <f>'Balance Sheet'!X17/'Balance Sheet'!W17-1</f>
        <v>2.9999999999999583E-2</v>
      </c>
      <c r="Y56" s="216">
        <f>'Balance Sheet'!Y17/'Balance Sheet'!X17-1</f>
        <v>2.9999999999999583E-2</v>
      </c>
      <c r="Z56" s="216">
        <f>'Balance Sheet'!Z17/'Balance Sheet'!Y17-1</f>
        <v>2.9999999999999805E-2</v>
      </c>
      <c r="AA56" s="213"/>
      <c r="AB56" s="41" t="str">
        <f t="shared" si="43"/>
        <v>Securities available for sale, % growth</v>
      </c>
      <c r="AC56" s="218"/>
      <c r="AD56" s="217" t="e">
        <f>'Balance Sheet'!AD17/'Balance Sheet'!AC17-1</f>
        <v>#DIV/0!</v>
      </c>
      <c r="AE56" s="217" t="e">
        <f>'Balance Sheet'!AE17/'Balance Sheet'!AD17-1</f>
        <v>#DIV/0!</v>
      </c>
      <c r="AF56" s="217" t="e">
        <f>'Balance Sheet'!AF17/'Balance Sheet'!AE17-1</f>
        <v>#DIV/0!</v>
      </c>
      <c r="AG56" s="217" t="e">
        <f>'Balance Sheet'!AG17/'Balance Sheet'!AF17-1</f>
        <v>#DIV/0!</v>
      </c>
      <c r="AH56" s="217" t="e">
        <f>'Balance Sheet'!AH17/'Balance Sheet'!AG17-1</f>
        <v>#DIV/0!</v>
      </c>
      <c r="AI56" s="217" t="e">
        <f>'Balance Sheet'!AI17/'Balance Sheet'!AH17-1</f>
        <v>#DIV/0!</v>
      </c>
      <c r="AJ56" s="217" t="e">
        <f>'Balance Sheet'!AJ17/'Balance Sheet'!AI17-1</f>
        <v>#DIV/0!</v>
      </c>
      <c r="AK56" s="217" t="e">
        <f>'Balance Sheet'!AK17/'Balance Sheet'!AJ17-1</f>
        <v>#DIV/0!</v>
      </c>
      <c r="AL56" s="217" t="e">
        <f>'Balance Sheet'!AL17/'Balance Sheet'!AK17-1</f>
        <v>#DIV/0!</v>
      </c>
      <c r="AM56" s="217" t="e">
        <f>'Balance Sheet'!AM17/'Balance Sheet'!AL17-1</f>
        <v>#DIV/0!</v>
      </c>
      <c r="AN56" s="217" t="e">
        <f>'Balance Sheet'!AN17/'Balance Sheet'!AM17-1</f>
        <v>#DIV/0!</v>
      </c>
      <c r="AO56" s="217" t="e">
        <f>'Balance Sheet'!AO17/'Balance Sheet'!AN17-1</f>
        <v>#DIV/0!</v>
      </c>
      <c r="AP56" s="217" t="e">
        <f>'Balance Sheet'!AP17/'Balance Sheet'!AO17-1</f>
        <v>#DIV/0!</v>
      </c>
      <c r="AQ56" s="217" t="e">
        <f>'Balance Sheet'!AQ17/'Balance Sheet'!AP17-1</f>
        <v>#DIV/0!</v>
      </c>
      <c r="AR56" s="217" t="e">
        <f>'Balance Sheet'!AR17/'Balance Sheet'!AQ17-1</f>
        <v>#DIV/0!</v>
      </c>
      <c r="AS56" s="217" t="e">
        <f>'Balance Sheet'!AS17/'Balance Sheet'!AR17-1</f>
        <v>#DIV/0!</v>
      </c>
      <c r="AT56" s="217" t="e">
        <f>'Balance Sheet'!AT17/'Balance Sheet'!AS17-1</f>
        <v>#DIV/0!</v>
      </c>
      <c r="AU56" s="217" t="e">
        <f>'Balance Sheet'!AU17/'Balance Sheet'!AT17-1</f>
        <v>#DIV/0!</v>
      </c>
      <c r="AV56" s="217" t="e">
        <f>'Balance Sheet'!AV17/'Balance Sheet'!AU17-1</f>
        <v>#DIV/0!</v>
      </c>
      <c r="AW56" s="217" t="e">
        <f>'Balance Sheet'!AW17/'Balance Sheet'!AV17-1</f>
        <v>#DIV/0!</v>
      </c>
      <c r="AX56" s="217" t="e">
        <f>'Balance Sheet'!AX17/'Balance Sheet'!AW17-1</f>
        <v>#DIV/0!</v>
      </c>
      <c r="AY56" s="217" t="e">
        <f>'Balance Sheet'!AY17/'Balance Sheet'!AX17-1</f>
        <v>#DIV/0!</v>
      </c>
      <c r="AZ56" s="217" t="e">
        <f>'Balance Sheet'!AZ17/'Balance Sheet'!AY17-1</f>
        <v>#DIV/0!</v>
      </c>
      <c r="BA56" s="217" t="e">
        <f>'Balance Sheet'!BA17/'Balance Sheet'!AZ17-1</f>
        <v>#DIV/0!</v>
      </c>
      <c r="BB56" s="217" t="e">
        <f>'Balance Sheet'!BB17/'Balance Sheet'!BA17-1</f>
        <v>#DIV/0!</v>
      </c>
      <c r="BC56" s="217" t="e">
        <f>'Balance Sheet'!BC17/'Balance Sheet'!BB17-1</f>
        <v>#DIV/0!</v>
      </c>
      <c r="BD56" s="217" t="e">
        <f>'Balance Sheet'!BD17/'Balance Sheet'!BC17-1</f>
        <v>#DIV/0!</v>
      </c>
      <c r="BE56" s="217" t="e">
        <f>'Balance Sheet'!BE17/'Balance Sheet'!BD17-1</f>
        <v>#DIV/0!</v>
      </c>
      <c r="BF56" s="217" t="e">
        <f>'Balance Sheet'!BF17/'Balance Sheet'!BE17-1</f>
        <v>#DIV/0!</v>
      </c>
      <c r="BG56" s="217" t="e">
        <f>'Balance Sheet'!BG17/'Balance Sheet'!BF17-1</f>
        <v>#DIV/0!</v>
      </c>
      <c r="BH56" s="217" t="e">
        <f>'Balance Sheet'!BH17/'Balance Sheet'!BG17-1</f>
        <v>#DIV/0!</v>
      </c>
      <c r="BI56" s="217" t="e">
        <f>'Balance Sheet'!BI17/'Balance Sheet'!BH17-1</f>
        <v>#DIV/0!</v>
      </c>
      <c r="BJ56" s="217" t="e">
        <f>'Balance Sheet'!BJ17/'Balance Sheet'!BI17-1</f>
        <v>#DIV/0!</v>
      </c>
      <c r="BK56" s="217" t="e">
        <f>'Balance Sheet'!BK17/'Balance Sheet'!BJ17-1</f>
        <v>#DIV/0!</v>
      </c>
      <c r="BL56" s="217" t="e">
        <f>'Balance Sheet'!BL17/'Balance Sheet'!BK17-1</f>
        <v>#DIV/0!</v>
      </c>
      <c r="BM56" s="217" t="e">
        <f>'Balance Sheet'!BM17/'Balance Sheet'!BL17-1</f>
        <v>#DIV/0!</v>
      </c>
      <c r="BN56" s="217" t="e">
        <f>'Balance Sheet'!BN17/'Balance Sheet'!BM17-1</f>
        <v>#DIV/0!</v>
      </c>
      <c r="BO56" s="217" t="e">
        <f>'Balance Sheet'!BO17/'Balance Sheet'!BN17-1</f>
        <v>#DIV/0!</v>
      </c>
      <c r="BP56" s="217" t="e">
        <f>'Balance Sheet'!BP17/'Balance Sheet'!BO17-1</f>
        <v>#DIV/0!</v>
      </c>
      <c r="BQ56" s="217" t="e">
        <f>'Balance Sheet'!BQ17/'Balance Sheet'!BP17-1</f>
        <v>#DIV/0!</v>
      </c>
      <c r="BR56" s="217" t="e">
        <f>'Balance Sheet'!BR17/'Balance Sheet'!BQ17-1</f>
        <v>#DIV/0!</v>
      </c>
      <c r="BS56" s="217" t="e">
        <f>'Balance Sheet'!BS17/'Balance Sheet'!BR17-1</f>
        <v>#DIV/0!</v>
      </c>
      <c r="BT56" s="217" t="e">
        <f>'Balance Sheet'!BT17/'Balance Sheet'!BS17-1</f>
        <v>#DIV/0!</v>
      </c>
      <c r="BU56" s="217" t="e">
        <f>'Balance Sheet'!BU17/'Balance Sheet'!BT17-1</f>
        <v>#DIV/0!</v>
      </c>
      <c r="BV56" s="217" t="e">
        <f>'Balance Sheet'!BV17/'Balance Sheet'!BU17-1</f>
        <v>#DIV/0!</v>
      </c>
      <c r="BW56" s="217" t="e">
        <f>'Balance Sheet'!BW17/'Balance Sheet'!BV17-1</f>
        <v>#DIV/0!</v>
      </c>
      <c r="BX56" s="217" t="e">
        <f>'Balance Sheet'!BX17/'Balance Sheet'!BW17-1</f>
        <v>#DIV/0!</v>
      </c>
      <c r="BY56" s="217" t="e">
        <f>'Balance Sheet'!BY17/'Balance Sheet'!BX17-1</f>
        <v>#DIV/0!</v>
      </c>
      <c r="BZ56" s="217">
        <f>'Balance Sheet'!BZ17/'Balance Sheet'!BY17-1</f>
        <v>-0.11217411106980091</v>
      </c>
      <c r="CA56" s="217">
        <f>'Balance Sheet'!CA17/'Balance Sheet'!BZ17-1</f>
        <v>-5.775684758366928E-2</v>
      </c>
      <c r="CB56" s="217">
        <f>'Balance Sheet'!CB17/'Balance Sheet'!CA17-1</f>
        <v>5.6080700756244273E-2</v>
      </c>
      <c r="CC56" s="217">
        <f>'Balance Sheet'!CC17/'Balance Sheet'!CB17-1</f>
        <v>0.18245228601878805</v>
      </c>
      <c r="CD56" s="217">
        <f>'Balance Sheet'!CD17/'Balance Sheet'!CC17-1</f>
        <v>-4.2912971861238103E-2</v>
      </c>
      <c r="CE56" s="217">
        <f>'Balance Sheet'!CE17/'Balance Sheet'!CD17-1</f>
        <v>0.2776809172306911</v>
      </c>
      <c r="CF56" s="217">
        <f>'Balance Sheet'!CF17/'Balance Sheet'!CE17-1</f>
        <v>-0.49892206965498431</v>
      </c>
      <c r="CG56" s="217">
        <f>'Balance Sheet'!CG17/'Balance Sheet'!CF17-1</f>
        <v>0.52040912120904692</v>
      </c>
      <c r="CH56" s="217">
        <f>'Balance Sheet'!CH17/'Balance Sheet'!CG17-1</f>
        <v>5.5046777568659166E-2</v>
      </c>
      <c r="CI56" s="217">
        <f>'Balance Sheet'!CI17/'Balance Sheet'!CH17-1</f>
        <v>2.8865896556883541E-2</v>
      </c>
      <c r="CJ56" s="217">
        <f>'Balance Sheet'!CJ17/'Balance Sheet'!CI17-1</f>
        <v>-8.298647592598718E-2</v>
      </c>
      <c r="CK56" s="217">
        <f>'Balance Sheet'!CK17/'Balance Sheet'!CJ17-1</f>
        <v>0.26172618426512484</v>
      </c>
      <c r="CL56" s="217">
        <f>'Balance Sheet'!CL17/'Balance Sheet'!CK17-1</f>
        <v>2.8117709366753951E-2</v>
      </c>
      <c r="CM56" s="217">
        <f>'Balance Sheet'!CM17/'Balance Sheet'!CL17-1</f>
        <v>-0.11541844752097674</v>
      </c>
      <c r="CN56" s="217">
        <f>'Balance Sheet'!CN17/'Balance Sheet'!CM17-1</f>
        <v>6.1145893335336154E-2</v>
      </c>
      <c r="CO56" s="217">
        <f>'Balance Sheet'!CO17/'Balance Sheet'!CN17-1</f>
        <v>8.11424580161626E-2</v>
      </c>
      <c r="CP56" s="217">
        <f>'Balance Sheet'!CP17/'Balance Sheet'!CO17-1</f>
        <v>6.5231328465715777E-3</v>
      </c>
      <c r="CQ56" s="217">
        <f>'Balance Sheet'!CQ17/'Balance Sheet'!CP17-1</f>
        <v>-0.1176640844158251</v>
      </c>
      <c r="CR56" s="217">
        <f>'Balance Sheet'!CR17/'Balance Sheet'!CQ17-1</f>
        <v>1.0576662916356394E-2</v>
      </c>
      <c r="CS56" s="217">
        <f>'Balance Sheet'!CS17/'Balance Sheet'!CR17-1</f>
        <v>4.2149960049405966E-2</v>
      </c>
      <c r="CT56" s="217">
        <f>'Balance Sheet'!CT17/'Balance Sheet'!CS17-1</f>
        <v>-1.5831922902738937E-2</v>
      </c>
      <c r="CU56" s="217">
        <f>'Balance Sheet'!CU17/'Balance Sheet'!CT17-1</f>
        <v>3.0892650730209192E-2</v>
      </c>
      <c r="CV56" s="217">
        <f>'Balance Sheet'!CV17/'Balance Sheet'!CU17-1</f>
        <v>-7.9819014128619914E-2</v>
      </c>
      <c r="CW56" s="217">
        <f>'Balance Sheet'!CW17/'Balance Sheet'!CV17-1</f>
        <v>0.13847853494999729</v>
      </c>
      <c r="CX56" s="217">
        <f>'Balance Sheet'!CX17/'Balance Sheet'!CW17-1</f>
        <v>8.5659071579060608E-3</v>
      </c>
      <c r="CY56" s="217">
        <f>'Balance Sheet'!CY17/'Balance Sheet'!CX17-1</f>
        <v>7.7108349967373924E-2</v>
      </c>
      <c r="CZ56" s="217">
        <f>'Balance Sheet'!CZ17/'Balance Sheet'!CY17-1</f>
        <v>6.6979093294021741E-3</v>
      </c>
      <c r="DA56" s="216">
        <f t="shared" si="44"/>
        <v>8.2383837964494777E-3</v>
      </c>
      <c r="DB56" s="216">
        <f t="shared" si="44"/>
        <v>8.3937254420483054E-3</v>
      </c>
      <c r="DC56" s="216">
        <f t="shared" si="44"/>
        <v>7.9057534988196121E-3</v>
      </c>
      <c r="DD56" s="216">
        <f t="shared" si="44"/>
        <v>7.6615015110583773E-3</v>
      </c>
      <c r="DE56" s="216">
        <f t="shared" si="44"/>
        <v>7.6615015110583773E-3</v>
      </c>
      <c r="DF56" s="216">
        <f t="shared" si="44"/>
        <v>7.1724639967380988E-3</v>
      </c>
      <c r="DG56" s="216">
        <f t="shared" si="44"/>
        <v>7.1724639967380988E-3</v>
      </c>
      <c r="DH56" s="216">
        <f t="shared" si="44"/>
        <v>7.4170717777328754E-3</v>
      </c>
      <c r="DI56" s="216">
        <f t="shared" si="45"/>
        <v>7.4170717777328754E-3</v>
      </c>
      <c r="DJ56" s="216">
        <f t="shared" si="45"/>
        <v>7.4170717777328754E-3</v>
      </c>
      <c r="DK56" s="216">
        <f t="shared" si="45"/>
        <v>7.4170717777328754E-3</v>
      </c>
      <c r="DL56" s="216">
        <f t="shared" si="45"/>
        <v>7.4170717777328754E-3</v>
      </c>
      <c r="DM56" s="216">
        <f t="shared" si="45"/>
        <v>7.4170717777328754E-3</v>
      </c>
      <c r="DN56" s="216">
        <f t="shared" si="45"/>
        <v>7.4170717777328754E-3</v>
      </c>
      <c r="DO56" s="216">
        <f t="shared" si="45"/>
        <v>7.4170717777328754E-3</v>
      </c>
      <c r="DP56" s="216">
        <f t="shared" si="45"/>
        <v>7.4170717777328754E-3</v>
      </c>
      <c r="DQ56" s="216">
        <f t="shared" si="45"/>
        <v>7.4170717777328754E-3</v>
      </c>
      <c r="DR56" s="216">
        <f t="shared" si="45"/>
        <v>7.4170717777328754E-3</v>
      </c>
      <c r="DS56" s="216">
        <f t="shared" si="45"/>
        <v>7.4170717777328754E-3</v>
      </c>
      <c r="DT56" s="216">
        <f t="shared" si="45"/>
        <v>7.4170717777328754E-3</v>
      </c>
      <c r="DU56" s="216">
        <f t="shared" si="45"/>
        <v>7.4170717777328754E-3</v>
      </c>
      <c r="DV56" s="216">
        <f t="shared" si="45"/>
        <v>7.4170717777328754E-3</v>
      </c>
      <c r="DW56" s="216">
        <f t="shared" si="45"/>
        <v>7.4170717777328754E-3</v>
      </c>
      <c r="DX56" s="216">
        <f t="shared" si="45"/>
        <v>7.4170717777328754E-3</v>
      </c>
    </row>
    <row r="57" spans="1:128">
      <c r="A57" s="235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217"/>
      <c r="P57" s="217"/>
      <c r="Q57" s="237"/>
      <c r="R57" s="237"/>
      <c r="S57" s="237"/>
      <c r="T57" s="612"/>
      <c r="U57" s="236"/>
      <c r="V57" s="236"/>
      <c r="W57" s="236"/>
      <c r="X57" s="236"/>
      <c r="Y57" s="236"/>
      <c r="Z57" s="236"/>
      <c r="AA57" s="213"/>
      <c r="AB57" s="235"/>
      <c r="AC57" s="220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</row>
    <row r="58" spans="1:128">
      <c r="A58" s="232" t="s">
        <v>203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27"/>
      <c r="R58" s="227"/>
      <c r="S58" s="227"/>
      <c r="T58" s="611"/>
      <c r="U58" s="226"/>
      <c r="V58" s="226"/>
      <c r="W58" s="226"/>
      <c r="X58" s="226"/>
      <c r="Y58" s="226"/>
      <c r="Z58" s="226"/>
      <c r="AA58" s="213"/>
      <c r="AB58" s="232" t="str">
        <f>A58</f>
        <v>Loans</v>
      </c>
      <c r="AC58" s="220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  <c r="BI58" s="217"/>
      <c r="BJ58" s="217"/>
      <c r="BK58" s="217"/>
      <c r="BL58" s="217"/>
      <c r="BM58" s="217"/>
      <c r="BN58" s="217"/>
      <c r="BO58" s="217"/>
      <c r="BP58" s="217"/>
      <c r="BQ58" s="217"/>
      <c r="BR58" s="217"/>
      <c r="BS58" s="234"/>
      <c r="BT58" s="234"/>
      <c r="BU58" s="234"/>
      <c r="BV58" s="234"/>
      <c r="BW58" s="234"/>
      <c r="BX58" s="234"/>
      <c r="BY58" s="234"/>
      <c r="BZ58" s="234"/>
      <c r="CA58" s="234"/>
      <c r="CB58" s="234"/>
      <c r="CC58" s="234"/>
      <c r="CD58" s="234"/>
      <c r="CE58" s="234"/>
      <c r="CF58" s="234"/>
      <c r="CG58" s="234"/>
      <c r="CH58" s="234"/>
      <c r="CI58" s="234"/>
      <c r="CJ58" s="234"/>
      <c r="CK58" s="234"/>
      <c r="CL58" s="151"/>
      <c r="CM58" s="151"/>
      <c r="CN58" s="151"/>
      <c r="CO58" s="151"/>
      <c r="CP58" s="151"/>
      <c r="CQ58" s="151"/>
      <c r="CR58" s="151"/>
      <c r="CS58" s="151"/>
      <c r="CT58" s="151"/>
      <c r="CU58" s="151"/>
      <c r="CV58" s="151"/>
      <c r="CW58" s="151"/>
      <c r="CX58" s="151"/>
      <c r="CY58" s="151"/>
      <c r="CZ58" s="151"/>
      <c r="DA58" s="151"/>
      <c r="DB58" s="151"/>
      <c r="DC58" s="151"/>
      <c r="DD58" s="151"/>
      <c r="DE58" s="151"/>
      <c r="DF58" s="151"/>
      <c r="DG58" s="151"/>
      <c r="DH58" s="151"/>
      <c r="DI58" s="151"/>
      <c r="DJ58" s="151"/>
      <c r="DK58" s="151"/>
      <c r="DL58" s="151"/>
      <c r="DM58" s="151"/>
      <c r="DN58" s="151"/>
      <c r="DO58" s="151"/>
      <c r="DP58" s="151"/>
      <c r="DQ58" s="151"/>
      <c r="DR58" s="151"/>
      <c r="DS58" s="151"/>
      <c r="DT58" s="151"/>
      <c r="DU58" s="151"/>
      <c r="DV58" s="151"/>
      <c r="DW58" s="151"/>
      <c r="DX58" s="151"/>
    </row>
    <row r="59" spans="1:128">
      <c r="A59" s="225" t="s">
        <v>230</v>
      </c>
      <c r="B59" s="217"/>
      <c r="C59" s="217"/>
      <c r="D59" s="217"/>
      <c r="E59" s="217"/>
      <c r="F59" s="217"/>
      <c r="G59" s="217"/>
      <c r="H59" s="217"/>
      <c r="I59" s="217"/>
      <c r="J59" s="217" t="e">
        <f>+'Balance Sheet'!J47/'Balance Sheet'!I47-1</f>
        <v>#DIV/0!</v>
      </c>
      <c r="K59" s="217" t="e">
        <f>+'Balance Sheet'!K47/'Balance Sheet'!J47-1</f>
        <v>#DIV/0!</v>
      </c>
      <c r="L59" s="217" t="e">
        <f>+'Balance Sheet'!L47/'Balance Sheet'!K47-1</f>
        <v>#DIV/0!</v>
      </c>
      <c r="M59" s="217" t="e">
        <f>+'Balance Sheet'!M47/'Balance Sheet'!L47-1</f>
        <v>#DIV/0!</v>
      </c>
      <c r="N59" s="217" t="e">
        <f>+'Balance Sheet'!N47/'Balance Sheet'!M47-1</f>
        <v>#DIV/0!</v>
      </c>
      <c r="O59" s="217">
        <f>+'Balance Sheet'!O47/'Balance Sheet'!N47-1</f>
        <v>7.5708905509539459E-2</v>
      </c>
      <c r="P59" s="217">
        <f>+'Balance Sheet'!P47/'Balance Sheet'!O47-1</f>
        <v>-2.5906960497096509E-2</v>
      </c>
      <c r="Q59" s="219">
        <f>+'Balance Sheet'!Q47/'Balance Sheet'!P47-1</f>
        <v>1.6350501019121757</v>
      </c>
      <c r="R59" s="219">
        <f>+'Balance Sheet'!R47/'Balance Sheet'!Q47-1</f>
        <v>-0.37529346567207567</v>
      </c>
      <c r="S59" s="219">
        <f>+'Balance Sheet'!S47/'Balance Sheet'!R47-1</f>
        <v>0.59038769810436542</v>
      </c>
      <c r="T59" s="217">
        <f>+'Balance Sheet'!T47/'Balance Sheet'!S47-1</f>
        <v>-7.5624712497863733E-2</v>
      </c>
      <c r="U59" s="216">
        <f>+'Balance Sheet'!U47/'Balance Sheet'!T47-1</f>
        <v>3.2590089289722401E-2</v>
      </c>
      <c r="V59" s="216">
        <f>+'Balance Sheet'!V47/'Balance Sheet'!U47-1</f>
        <v>2.9749666269401231E-2</v>
      </c>
      <c r="W59" s="216">
        <f>+'Balance Sheet'!W47/'Balance Sheet'!V47-1</f>
        <v>2.9999999999999583E-2</v>
      </c>
      <c r="X59" s="216">
        <f>+'Balance Sheet'!X47/'Balance Sheet'!W47-1</f>
        <v>2.9999999999999583E-2</v>
      </c>
      <c r="Y59" s="216">
        <f>+'Balance Sheet'!Y47/'Balance Sheet'!X47-1</f>
        <v>2.9999999999999805E-2</v>
      </c>
      <c r="Z59" s="216">
        <f>+'Balance Sheet'!Z47/'Balance Sheet'!Y47-1</f>
        <v>2.9999999999999583E-2</v>
      </c>
      <c r="AA59" s="213"/>
      <c r="AB59" s="225" t="str">
        <f>A59</f>
        <v>Total average loans, % growth</v>
      </c>
      <c r="AC59" s="218">
        <v>0</v>
      </c>
      <c r="AD59" s="217" t="e">
        <f>+'Balance Sheet'!AD47/'Balance Sheet'!AC47-1</f>
        <v>#DIV/0!</v>
      </c>
      <c r="AE59" s="217" t="e">
        <f>+'Balance Sheet'!AE47/'Balance Sheet'!AD47-1</f>
        <v>#DIV/0!</v>
      </c>
      <c r="AF59" s="217" t="e">
        <f>+'Balance Sheet'!AF47/'Balance Sheet'!AE47-1</f>
        <v>#DIV/0!</v>
      </c>
      <c r="AG59" s="217" t="e">
        <f>+'Balance Sheet'!AG47/'Balance Sheet'!AF47-1</f>
        <v>#DIV/0!</v>
      </c>
      <c r="AH59" s="217" t="e">
        <f>+'Balance Sheet'!AH47/'Balance Sheet'!AG47-1</f>
        <v>#DIV/0!</v>
      </c>
      <c r="AI59" s="217" t="e">
        <f>+'Balance Sheet'!AI47/'Balance Sheet'!AH47-1</f>
        <v>#DIV/0!</v>
      </c>
      <c r="AJ59" s="217" t="e">
        <f>+'Balance Sheet'!AJ47/'Balance Sheet'!AI47-1</f>
        <v>#DIV/0!</v>
      </c>
      <c r="AK59" s="217" t="e">
        <f>+'Balance Sheet'!AK47/'Balance Sheet'!AJ47-1</f>
        <v>#DIV/0!</v>
      </c>
      <c r="AL59" s="217" t="e">
        <f>+'Balance Sheet'!AL47/'Balance Sheet'!AK47-1</f>
        <v>#DIV/0!</v>
      </c>
      <c r="AM59" s="217" t="e">
        <f>+'Balance Sheet'!AM47/'Balance Sheet'!AL47-1</f>
        <v>#DIV/0!</v>
      </c>
      <c r="AN59" s="217" t="e">
        <f>+'Balance Sheet'!AN47/'Balance Sheet'!AM47-1</f>
        <v>#DIV/0!</v>
      </c>
      <c r="AO59" s="217" t="e">
        <f>+'Balance Sheet'!AO47/'Balance Sheet'!AN47-1</f>
        <v>#DIV/0!</v>
      </c>
      <c r="AP59" s="217" t="e">
        <f>+'Balance Sheet'!AP47/'Balance Sheet'!AO47-1</f>
        <v>#DIV/0!</v>
      </c>
      <c r="AQ59" s="217" t="e">
        <f>+'Balance Sheet'!AQ47/'Balance Sheet'!AP47-1</f>
        <v>#DIV/0!</v>
      </c>
      <c r="AR59" s="217" t="e">
        <f>+'Balance Sheet'!AR47/'Balance Sheet'!AQ47-1</f>
        <v>#DIV/0!</v>
      </c>
      <c r="AS59" s="217" t="e">
        <f>+'Balance Sheet'!AS47/'Balance Sheet'!AR47-1</f>
        <v>#DIV/0!</v>
      </c>
      <c r="AT59" s="217" t="e">
        <f>+'Balance Sheet'!AT47/'Balance Sheet'!AS47-1</f>
        <v>#DIV/0!</v>
      </c>
      <c r="AU59" s="217" t="e">
        <f>+'Balance Sheet'!AU47/'Balance Sheet'!AT47-1</f>
        <v>#DIV/0!</v>
      </c>
      <c r="AV59" s="217" t="e">
        <f>+'Balance Sheet'!AV47/'Balance Sheet'!AU47-1</f>
        <v>#DIV/0!</v>
      </c>
      <c r="AW59" s="217" t="e">
        <f>+'Balance Sheet'!AW47/'Balance Sheet'!AV47-1</f>
        <v>#DIV/0!</v>
      </c>
      <c r="AX59" s="217" t="e">
        <f>+'Balance Sheet'!AX47/'Balance Sheet'!AW47-1</f>
        <v>#DIV/0!</v>
      </c>
      <c r="AY59" s="217" t="e">
        <f>+'Balance Sheet'!AY47/'Balance Sheet'!AX47-1</f>
        <v>#DIV/0!</v>
      </c>
      <c r="AZ59" s="217" t="e">
        <f>+'Balance Sheet'!AZ47/'Balance Sheet'!AY47-1</f>
        <v>#DIV/0!</v>
      </c>
      <c r="BA59" s="217" t="e">
        <f>+'Balance Sheet'!BA47/'Balance Sheet'!AZ47-1</f>
        <v>#DIV/0!</v>
      </c>
      <c r="BB59" s="217" t="e">
        <f>+'Balance Sheet'!BB47/'Balance Sheet'!BA47-1</f>
        <v>#DIV/0!</v>
      </c>
      <c r="BC59" s="217" t="e">
        <f>+'Balance Sheet'!BC47/'Balance Sheet'!BB47-1</f>
        <v>#DIV/0!</v>
      </c>
      <c r="BD59" s="217" t="e">
        <f>+'Balance Sheet'!BD47/'Balance Sheet'!BC47-1</f>
        <v>#DIV/0!</v>
      </c>
      <c r="BE59" s="217" t="e">
        <f>+'Balance Sheet'!BE47/'Balance Sheet'!BD47-1</f>
        <v>#DIV/0!</v>
      </c>
      <c r="BF59" s="217" t="e">
        <f>+'Balance Sheet'!BF47/'Balance Sheet'!BE47-1</f>
        <v>#DIV/0!</v>
      </c>
      <c r="BG59" s="217" t="e">
        <f>+'Balance Sheet'!BG47/'Balance Sheet'!BF47-1</f>
        <v>#DIV/0!</v>
      </c>
      <c r="BH59" s="217" t="e">
        <f>+'Balance Sheet'!BH47/'Balance Sheet'!BG47-1</f>
        <v>#DIV/0!</v>
      </c>
      <c r="BI59" s="217" t="e">
        <f>'Balance Sheet'!BI71/'Balance Sheet'!BH71-1</f>
        <v>#DIV/0!</v>
      </c>
      <c r="BJ59" s="217" t="e">
        <f>'Balance Sheet'!BJ71/'Balance Sheet'!BI71-1</f>
        <v>#DIV/0!</v>
      </c>
      <c r="BK59" s="217" t="e">
        <f>'Balance Sheet'!BK71/'Balance Sheet'!BJ71-1</f>
        <v>#DIV/0!</v>
      </c>
      <c r="BL59" s="217" t="e">
        <f>'Balance Sheet'!BL71/'Balance Sheet'!BK71-1</f>
        <v>#DIV/0!</v>
      </c>
      <c r="BM59" s="217" t="e">
        <f>'Balance Sheet'!BM71/'Balance Sheet'!BL71-1</f>
        <v>#DIV/0!</v>
      </c>
      <c r="BN59" s="217" t="e">
        <f>'Balance Sheet'!BN71/'Balance Sheet'!BM71-1</f>
        <v>#DIV/0!</v>
      </c>
      <c r="BO59" s="217" t="e">
        <f>'Balance Sheet'!BO71/'Balance Sheet'!BN71-1</f>
        <v>#DIV/0!</v>
      </c>
      <c r="BP59" s="217" t="e">
        <f>'Balance Sheet'!BP71/'Balance Sheet'!BO71-1</f>
        <v>#DIV/0!</v>
      </c>
      <c r="BQ59" s="217" t="e">
        <f>'Balance Sheet'!BQ71/'Balance Sheet'!BP71-1</f>
        <v>#DIV/0!</v>
      </c>
      <c r="BR59" s="217" t="e">
        <f>'Balance Sheet'!BR71/'Balance Sheet'!BQ71-1</f>
        <v>#DIV/0!</v>
      </c>
      <c r="BS59" s="217" t="e">
        <f>'Balance Sheet'!BS71/'Balance Sheet'!BR71-1</f>
        <v>#DIV/0!</v>
      </c>
      <c r="BT59" s="217" t="e">
        <f>'Balance Sheet'!BT71/'Balance Sheet'!BS71-1</f>
        <v>#DIV/0!</v>
      </c>
      <c r="BU59" s="217" t="e">
        <f>'Balance Sheet'!BU71/'Balance Sheet'!BT71-1</f>
        <v>#DIV/0!</v>
      </c>
      <c r="BV59" s="217" t="e">
        <f>'Balance Sheet'!BV71/'Balance Sheet'!BU71-1</f>
        <v>#DIV/0!</v>
      </c>
      <c r="BW59" s="217" t="e">
        <f>'Balance Sheet'!BW71/'Balance Sheet'!BV71-1</f>
        <v>#DIV/0!</v>
      </c>
      <c r="BX59" s="217" t="e">
        <f>'Balance Sheet'!BX71/'Balance Sheet'!BW71-1</f>
        <v>#DIV/0!</v>
      </c>
      <c r="BY59" s="217" t="e">
        <f>'Balance Sheet'!BY71/'Balance Sheet'!BX71-1</f>
        <v>#DIV/0!</v>
      </c>
      <c r="BZ59" s="217">
        <f>'Balance Sheet'!BZ71/'Balance Sheet'!BY71-1</f>
        <v>0.9977661822005599</v>
      </c>
      <c r="CA59" s="217">
        <f>'Balance Sheet'!CA71/'Balance Sheet'!BZ71-1</f>
        <v>-1.8785912584036946E-2</v>
      </c>
      <c r="CB59" s="217">
        <f>'Balance Sheet'!CB71/'Balance Sheet'!CA71-1</f>
        <v>2.5392043822038746E-2</v>
      </c>
      <c r="CC59" s="217">
        <f>'Balance Sheet'!CC71/'Balance Sheet'!CB71-1</f>
        <v>4.7977229820673983E-2</v>
      </c>
      <c r="CD59" s="217">
        <f>'Balance Sheet'!CD71/'Balance Sheet'!CC71-1</f>
        <v>3.5233302630526264E-2</v>
      </c>
      <c r="CE59" s="217">
        <f>'Balance Sheet'!CE71/'Balance Sheet'!CD71-1</f>
        <v>5.0156946749720266E-2</v>
      </c>
      <c r="CF59" s="217">
        <f>'Balance Sheet'!CF71/'Balance Sheet'!CE71-1</f>
        <v>6.2078117847712999E-2</v>
      </c>
      <c r="CG59" s="217">
        <f>'Balance Sheet'!CG71/'Balance Sheet'!CF71-1</f>
        <v>4.8622741392609026E-2</v>
      </c>
      <c r="CH59" s="217">
        <f>'Balance Sheet'!CH71/'Balance Sheet'!CG71-1</f>
        <v>5.0239594655067998E-2</v>
      </c>
      <c r="CI59" s="217">
        <f>'Balance Sheet'!CI71/'Balance Sheet'!CH71-1</f>
        <v>5.0489343612428739E-2</v>
      </c>
      <c r="CJ59" s="217">
        <f>'Balance Sheet'!CJ71/'Balance Sheet'!CI71-1</f>
        <v>2.7729340666843516E-2</v>
      </c>
      <c r="CK59" s="217">
        <f>'Balance Sheet'!CK71/'Balance Sheet'!CJ71-1</f>
        <v>3.0023572906155538E-2</v>
      </c>
      <c r="CL59" s="217">
        <f>'Balance Sheet'!CL71/'Balance Sheet'!CK71-1</f>
        <v>4.5585542160734072E-2</v>
      </c>
      <c r="CM59" s="217">
        <f>'Balance Sheet'!CM71/'Balance Sheet'!CL71-1</f>
        <v>4.4653884386928855E-2</v>
      </c>
      <c r="CN59" s="217">
        <f>'Balance Sheet'!CN71/'Balance Sheet'!CM71-1</f>
        <v>3.2628681356468459E-2</v>
      </c>
      <c r="CO59" s="217">
        <f>'Balance Sheet'!CO71/'Balance Sheet'!CN71-1</f>
        <v>3.1702996917033932E-2</v>
      </c>
      <c r="CP59" s="217">
        <f>'Balance Sheet'!CP71/'Balance Sheet'!CO71-1</f>
        <v>4.183853874771204E-2</v>
      </c>
      <c r="CQ59" s="217">
        <f>'Balance Sheet'!CQ71/'Balance Sheet'!CP71-1</f>
        <v>5.4053475438682108E-2</v>
      </c>
      <c r="CR59" s="217">
        <f>'Balance Sheet'!CR71/'Balance Sheet'!CQ71-1</f>
        <v>4.0160958946876324E-2</v>
      </c>
      <c r="CS59" s="217">
        <f>'Balance Sheet'!CS71/'Balance Sheet'!CR71-1</f>
        <v>6.3867954085456091E-2</v>
      </c>
      <c r="CT59" s="217">
        <f>'Balance Sheet'!CT71/'Balance Sheet'!CS71-1</f>
        <v>6.8061364420280768E-2</v>
      </c>
      <c r="CU59" s="217">
        <f>'Balance Sheet'!CU71/'Balance Sheet'!CT71-1</f>
        <v>3.6364839370331303E-2</v>
      </c>
      <c r="CV59" s="217">
        <f>'Balance Sheet'!CV71/'Balance Sheet'!CU71-1</f>
        <v>4.3078869983366408E-2</v>
      </c>
      <c r="CW59" s="217">
        <f>'Balance Sheet'!CW71/'Balance Sheet'!CV71-1</f>
        <v>3.8183105467196388E-2</v>
      </c>
      <c r="CX59" s="217">
        <f>'Balance Sheet'!CX71/'Balance Sheet'!CW71-1</f>
        <v>2.237167984009969E-2</v>
      </c>
      <c r="CY59" s="217">
        <f>'Balance Sheet'!CY71/'Balance Sheet'!CX71-1</f>
        <v>3.768058821999376E-2</v>
      </c>
      <c r="CZ59" s="217">
        <f>'Balance Sheet'!CZ71/'Balance Sheet'!CY71-1</f>
        <v>3.9833383351064899E-2</v>
      </c>
      <c r="DA59" s="216">
        <v>5.1103667799685448E-2</v>
      </c>
      <c r="DB59" s="216">
        <v>2.7952915627887265E-2</v>
      </c>
      <c r="DC59" s="216">
        <v>2.6442633335385324E-2</v>
      </c>
      <c r="DD59" s="216">
        <v>2.9253274973712218E-2</v>
      </c>
      <c r="DE59" s="216">
        <v>2.8719313392877588E-2</v>
      </c>
      <c r="DF59" s="216">
        <v>3.1599465154922957E-2</v>
      </c>
      <c r="DG59" s="216">
        <v>3.1235097435531323E-2</v>
      </c>
      <c r="DH59" s="216">
        <v>3.0480591296899284E-2</v>
      </c>
      <c r="DI59" s="216">
        <v>2.8245514127903437E-2</v>
      </c>
      <c r="DJ59" s="216">
        <v>3.033127299602989E-2</v>
      </c>
      <c r="DK59" s="216">
        <v>3.0053172269916217E-2</v>
      </c>
      <c r="DL59" s="216">
        <v>2.9692418094135586E-2</v>
      </c>
      <c r="DM59" s="216">
        <v>2.8394715723035091E-2</v>
      </c>
      <c r="DN59" s="216">
        <v>3.0907858108245811E-2</v>
      </c>
      <c r="DO59" s="216">
        <v>3.0350365241583299E-2</v>
      </c>
      <c r="DP59" s="216">
        <v>3.0261651562408787E-2</v>
      </c>
      <c r="DQ59" s="216">
        <v>2.8805583265391066E-2</v>
      </c>
      <c r="DR59" s="216">
        <v>3.1515857668181546E-2</v>
      </c>
      <c r="DS59" s="216">
        <v>3.0357671319270807E-2</v>
      </c>
      <c r="DT59" s="216">
        <v>3.2427383371442353E-2</v>
      </c>
      <c r="DU59" s="216">
        <v>3.0014435566081854E-2</v>
      </c>
      <c r="DV59" s="216">
        <v>3.2779177137284288E-2</v>
      </c>
      <c r="DW59" s="216">
        <v>3.1677981649071763E-2</v>
      </c>
      <c r="DX59" s="216">
        <v>3.3477170795175315E-2</v>
      </c>
    </row>
    <row r="60" spans="1:128">
      <c r="A60" s="225" t="s">
        <v>229</v>
      </c>
      <c r="B60" s="217"/>
      <c r="C60" s="217"/>
      <c r="D60" s="217"/>
      <c r="E60" s="217"/>
      <c r="F60" s="217"/>
      <c r="G60" s="217"/>
      <c r="H60" s="217"/>
      <c r="I60" s="217"/>
      <c r="J60" s="217" t="e">
        <f>'Balance Sheet'!J21/'Balance Sheet'!J19</f>
        <v>#DIV/0!</v>
      </c>
      <c r="K60" s="217" t="e">
        <f>'Balance Sheet'!K21/'Balance Sheet'!K19</f>
        <v>#DIV/0!</v>
      </c>
      <c r="L60" s="217" t="e">
        <f>'Balance Sheet'!L21/'Balance Sheet'!L19</f>
        <v>#DIV/0!</v>
      </c>
      <c r="M60" s="217" t="e">
        <f>'Balance Sheet'!M21/'Balance Sheet'!M19</f>
        <v>#DIV/0!</v>
      </c>
      <c r="N60" s="217">
        <f>'Balance Sheet'!N21/'Balance Sheet'!N19</f>
        <v>1.5914094246277374E-2</v>
      </c>
      <c r="O60" s="217">
        <f>'Balance Sheet'!O21/'Balance Sheet'!O19</f>
        <v>1.4572580305193808E-2</v>
      </c>
      <c r="P60" s="217">
        <f>'Balance Sheet'!P21/'Balance Sheet'!P19</f>
        <v>1.4856928809495764E-2</v>
      </c>
      <c r="Q60" s="219">
        <f>'Balance Sheet'!Q21/'Balance Sheet'!Q19</f>
        <v>1.7338098279567105E-2</v>
      </c>
      <c r="R60" s="219">
        <f>'Balance Sheet'!R21/'Balance Sheet'!R19</f>
        <v>2.2353785663341584E-2</v>
      </c>
      <c r="S60" s="219">
        <f>'Balance Sheet'!S21/'Balance Sheet'!S19</f>
        <v>2.5148457976214979E-2</v>
      </c>
      <c r="T60" s="217">
        <f>'Balance Sheet'!T21/'Balance Sheet'!T19</f>
        <v>2.558277869756255E-2</v>
      </c>
      <c r="U60" s="216">
        <f>'Balance Sheet'!U21/'Balance Sheet'!U19</f>
        <v>2.3668564809109338E-2</v>
      </c>
      <c r="V60" s="216">
        <f>'Balance Sheet'!V21/'Balance Sheet'!V19</f>
        <v>2.2412128231149697E-2</v>
      </c>
      <c r="W60" s="216">
        <f>'Balance Sheet'!W21/'Balance Sheet'!W19</f>
        <v>2.2272808690760908E-2</v>
      </c>
      <c r="X60" s="216">
        <f>'Balance Sheet'!X21/'Balance Sheet'!X19</f>
        <v>2.2386406375807435E-2</v>
      </c>
      <c r="Y60" s="216">
        <f>'Balance Sheet'!Y21/'Balance Sheet'!Y19</f>
        <v>2.244381989452688E-2</v>
      </c>
      <c r="Z60" s="216">
        <f>'Balance Sheet'!Z21/'Balance Sheet'!Z19</f>
        <v>2.2428379099707758E-2</v>
      </c>
      <c r="AA60" s="213"/>
      <c r="AB60" s="225" t="str">
        <f>A60</f>
        <v>Past due loans as a % of total loans</v>
      </c>
      <c r="AC60" s="218"/>
      <c r="AD60" s="217" t="e">
        <f>'Balance Sheet'!AD21/'Balance Sheet'!AD19</f>
        <v>#DIV/0!</v>
      </c>
      <c r="AE60" s="217" t="e">
        <f>'Balance Sheet'!AE21/'Balance Sheet'!AE19</f>
        <v>#DIV/0!</v>
      </c>
      <c r="AF60" s="217" t="e">
        <f>'Balance Sheet'!AF21/'Balance Sheet'!AF19</f>
        <v>#DIV/0!</v>
      </c>
      <c r="AG60" s="217" t="e">
        <f>'Balance Sheet'!AG21/'Balance Sheet'!AG19</f>
        <v>#DIV/0!</v>
      </c>
      <c r="AH60" s="217" t="e">
        <f>'Balance Sheet'!AH21/'Balance Sheet'!AH19</f>
        <v>#DIV/0!</v>
      </c>
      <c r="AI60" s="217" t="e">
        <f>'Balance Sheet'!AI21/'Balance Sheet'!AI19</f>
        <v>#DIV/0!</v>
      </c>
      <c r="AJ60" s="217" t="e">
        <f>'Balance Sheet'!AJ21/'Balance Sheet'!AJ19</f>
        <v>#DIV/0!</v>
      </c>
      <c r="AK60" s="217" t="e">
        <f>'Balance Sheet'!AK21/'Balance Sheet'!AK19</f>
        <v>#DIV/0!</v>
      </c>
      <c r="AL60" s="217" t="e">
        <f>'Balance Sheet'!AL21/'Balance Sheet'!AL19</f>
        <v>#DIV/0!</v>
      </c>
      <c r="AM60" s="217" t="e">
        <f>'Balance Sheet'!AM21/'Balance Sheet'!AM19</f>
        <v>#DIV/0!</v>
      </c>
      <c r="AN60" s="217" t="e">
        <f>'Balance Sheet'!AN21/'Balance Sheet'!AN19</f>
        <v>#DIV/0!</v>
      </c>
      <c r="AO60" s="217" t="e">
        <f>'Balance Sheet'!AO21/'Balance Sheet'!AO19</f>
        <v>#DIV/0!</v>
      </c>
      <c r="AP60" s="217" t="e">
        <f>'Balance Sheet'!AP21/'Balance Sheet'!AP19</f>
        <v>#DIV/0!</v>
      </c>
      <c r="AQ60" s="217" t="e">
        <f>'Balance Sheet'!AQ21/'Balance Sheet'!AQ19</f>
        <v>#DIV/0!</v>
      </c>
      <c r="AR60" s="217" t="e">
        <f>'Balance Sheet'!AR21/'Balance Sheet'!AR19</f>
        <v>#DIV/0!</v>
      </c>
      <c r="AS60" s="217" t="e">
        <f>'Balance Sheet'!AS21/'Balance Sheet'!AS19</f>
        <v>#DIV/0!</v>
      </c>
      <c r="AT60" s="217" t="e">
        <f>'Balance Sheet'!AT21/'Balance Sheet'!AT19</f>
        <v>#DIV/0!</v>
      </c>
      <c r="AU60" s="217" t="e">
        <f>'Balance Sheet'!AU21/'Balance Sheet'!AU19</f>
        <v>#DIV/0!</v>
      </c>
      <c r="AV60" s="217" t="e">
        <f>'Balance Sheet'!AV21/'Balance Sheet'!AV19</f>
        <v>#DIV/0!</v>
      </c>
      <c r="AW60" s="217" t="e">
        <f>'Balance Sheet'!AW21/'Balance Sheet'!AW19</f>
        <v>#DIV/0!</v>
      </c>
      <c r="AX60" s="217" t="e">
        <f>'Balance Sheet'!AX21/'Balance Sheet'!AX19</f>
        <v>#DIV/0!</v>
      </c>
      <c r="AY60" s="217" t="e">
        <f>'Balance Sheet'!AY21/'Balance Sheet'!AY19</f>
        <v>#DIV/0!</v>
      </c>
      <c r="AZ60" s="217" t="e">
        <f>'Balance Sheet'!AZ21/'Balance Sheet'!AZ19</f>
        <v>#DIV/0!</v>
      </c>
      <c r="BA60" s="217" t="e">
        <f>'Balance Sheet'!BA21/'Balance Sheet'!BA19</f>
        <v>#DIV/0!</v>
      </c>
      <c r="BB60" s="217" t="e">
        <f>'Balance Sheet'!BB21/'Balance Sheet'!BB19</f>
        <v>#DIV/0!</v>
      </c>
      <c r="BC60" s="217" t="e">
        <f>'Balance Sheet'!BC21/'Balance Sheet'!BC19</f>
        <v>#DIV/0!</v>
      </c>
      <c r="BD60" s="217" t="e">
        <f>'Balance Sheet'!BD21/'Balance Sheet'!BD19</f>
        <v>#DIV/0!</v>
      </c>
      <c r="BE60" s="217" t="e">
        <f>'Balance Sheet'!BE21/'Balance Sheet'!BE19</f>
        <v>#DIV/0!</v>
      </c>
      <c r="BF60" s="217" t="e">
        <f>'Balance Sheet'!BF21/'Balance Sheet'!BF19</f>
        <v>#DIV/0!</v>
      </c>
      <c r="BG60" s="217" t="e">
        <f>'Balance Sheet'!BG21/'Balance Sheet'!BG19</f>
        <v>#DIV/0!</v>
      </c>
      <c r="BH60" s="217" t="e">
        <f>'Balance Sheet'!BH21/'Balance Sheet'!BH19</f>
        <v>#DIV/0!</v>
      </c>
      <c r="BI60" s="217" t="e">
        <f>'Balance Sheet'!BI21/'Balance Sheet'!BI19</f>
        <v>#DIV/0!</v>
      </c>
      <c r="BJ60" s="217" t="e">
        <f>'Balance Sheet'!BJ21/'Balance Sheet'!BJ19</f>
        <v>#DIV/0!</v>
      </c>
      <c r="BK60" s="217" t="e">
        <f>'Balance Sheet'!BK21/'Balance Sheet'!BK19</f>
        <v>#DIV/0!</v>
      </c>
      <c r="BL60" s="217" t="e">
        <f>'Balance Sheet'!BL21/'Balance Sheet'!BL19</f>
        <v>#DIV/0!</v>
      </c>
      <c r="BM60" s="217" t="e">
        <f>'Balance Sheet'!BM21/'Balance Sheet'!BM19</f>
        <v>#DIV/0!</v>
      </c>
      <c r="BN60" s="217" t="e">
        <f>'Balance Sheet'!BN21/'Balance Sheet'!BN19</f>
        <v>#DIV/0!</v>
      </c>
      <c r="BO60" s="217" t="e">
        <f>'Balance Sheet'!BO21/'Balance Sheet'!BO19</f>
        <v>#DIV/0!</v>
      </c>
      <c r="BP60" s="217" t="e">
        <f>'Balance Sheet'!BP21/'Balance Sheet'!BP19</f>
        <v>#DIV/0!</v>
      </c>
      <c r="BQ60" s="217" t="e">
        <f>'Balance Sheet'!BQ21/'Balance Sheet'!BQ19</f>
        <v>#DIV/0!</v>
      </c>
      <c r="BR60" s="217" t="e">
        <f>'Balance Sheet'!BR21/'Balance Sheet'!BR19</f>
        <v>#DIV/0!</v>
      </c>
      <c r="BS60" s="217" t="e">
        <f>'Balance Sheet'!BS21/'Balance Sheet'!BS19</f>
        <v>#DIV/0!</v>
      </c>
      <c r="BT60" s="217" t="e">
        <f>'Balance Sheet'!BT21/'Balance Sheet'!BT19</f>
        <v>#DIV/0!</v>
      </c>
      <c r="BU60" s="217" t="e">
        <f>'Balance Sheet'!BU21/'Balance Sheet'!BU19</f>
        <v>#DIV/0!</v>
      </c>
      <c r="BV60" s="217" t="e">
        <f>'Balance Sheet'!BV21/'Balance Sheet'!BV19</f>
        <v>#DIV/0!</v>
      </c>
      <c r="BW60" s="217" t="e">
        <f>'Balance Sheet'!BW21/'Balance Sheet'!BW19</f>
        <v>#DIV/0!</v>
      </c>
      <c r="BX60" s="217" t="e">
        <f>'Balance Sheet'!BX21/'Balance Sheet'!BX19</f>
        <v>#DIV/0!</v>
      </c>
      <c r="BY60" s="217">
        <f>'Balance Sheet'!BY21/'Balance Sheet'!BY19</f>
        <v>1.1561838882356242E-2</v>
      </c>
      <c r="BZ60" s="217">
        <f>'Balance Sheet'!BZ21/'Balance Sheet'!BZ19</f>
        <v>1.3837371431380242E-2</v>
      </c>
      <c r="CA60" s="217">
        <f>'Balance Sheet'!CA21/'Balance Sheet'!CA19</f>
        <v>1.5540159645233032E-2</v>
      </c>
      <c r="CB60" s="217">
        <f>'Balance Sheet'!CB21/'Balance Sheet'!CB19</f>
        <v>1.5914094246277374E-2</v>
      </c>
      <c r="CC60" s="217">
        <f>'Balance Sheet'!CC21/'Balance Sheet'!CC19</f>
        <v>1.80955104107886E-2</v>
      </c>
      <c r="CD60" s="217">
        <f>'Balance Sheet'!CD21/'Balance Sheet'!CD19</f>
        <v>1.7000902525221368E-2</v>
      </c>
      <c r="CE60" s="217">
        <f>'Balance Sheet'!CE21/'Balance Sheet'!CE19</f>
        <v>1.590503466639645E-2</v>
      </c>
      <c r="CF60" s="217">
        <f>'Balance Sheet'!CF21/'Balance Sheet'!CF19</f>
        <v>1.4572580305193808E-2</v>
      </c>
      <c r="CG60" s="217">
        <f>'Balance Sheet'!CG21/'Balance Sheet'!CG19</f>
        <v>1.5614911806854643E-2</v>
      </c>
      <c r="CH60" s="217">
        <f>'Balance Sheet'!CH21/'Balance Sheet'!CH19</f>
        <v>1.4971038660053539E-2</v>
      </c>
      <c r="CI60" s="217">
        <f>'Balance Sheet'!CI21/'Balance Sheet'!CI19</f>
        <v>1.5403933812792604E-2</v>
      </c>
      <c r="CJ60" s="217">
        <f>'Balance Sheet'!CJ21/'Balance Sheet'!CJ19</f>
        <v>1.4856928809495764E-2</v>
      </c>
      <c r="CK60" s="217">
        <f>'Balance Sheet'!CK21/'Balance Sheet'!CK19</f>
        <v>1.6584583858881702E-2</v>
      </c>
      <c r="CL60" s="217">
        <f>'Balance Sheet'!CL21/'Balance Sheet'!CL19</f>
        <v>1.7428108282634702E-2</v>
      </c>
      <c r="CM60" s="217">
        <f>'Balance Sheet'!CM21/'Balance Sheet'!CM19</f>
        <v>1.7276107843058754E-2</v>
      </c>
      <c r="CN60" s="217">
        <f>'Balance Sheet'!CN21/'Balance Sheet'!CN19</f>
        <v>1.7338098279567105E-2</v>
      </c>
      <c r="CO60" s="217">
        <f>'Balance Sheet'!CO21/'Balance Sheet'!CO19</f>
        <v>1.9721809393179607E-2</v>
      </c>
      <c r="CP60" s="217">
        <f>'Balance Sheet'!CP21/'Balance Sheet'!CP19</f>
        <v>2.1070498749689092E-2</v>
      </c>
      <c r="CQ60" s="217">
        <f>'Balance Sheet'!CQ21/'Balance Sheet'!CQ19</f>
        <v>2.1801490332656416E-2</v>
      </c>
      <c r="CR60" s="217">
        <f>'Balance Sheet'!CR21/'Balance Sheet'!CR19</f>
        <v>2.2353785663341584E-2</v>
      </c>
      <c r="CS60" s="217">
        <f>'Balance Sheet'!CS21/'Balance Sheet'!CS19</f>
        <v>2.5893713102871235E-2</v>
      </c>
      <c r="CT60" s="217">
        <f>'Balance Sheet'!CT21/'Balance Sheet'!CT19</f>
        <v>2.6409268379055651E-2</v>
      </c>
      <c r="CU60" s="217">
        <f>'Balance Sheet'!CU21/'Balance Sheet'!CU19</f>
        <v>2.5923368588270716E-2</v>
      </c>
      <c r="CV60" s="217">
        <f>'Balance Sheet'!CV21/'Balance Sheet'!CV19</f>
        <v>2.5148457976214979E-2</v>
      </c>
      <c r="CW60" s="217">
        <f>'Balance Sheet'!CW21/'Balance Sheet'!CW19</f>
        <v>2.5824679352570792E-2</v>
      </c>
      <c r="CX60" s="217">
        <f>'Balance Sheet'!CX21/'Balance Sheet'!CX19</f>
        <v>2.724901169071197E-2</v>
      </c>
      <c r="CY60" s="217">
        <f>'Balance Sheet'!CY21/'Balance Sheet'!CY19</f>
        <v>2.5689730130076846E-2</v>
      </c>
      <c r="CZ60" s="217">
        <f>'Balance Sheet'!CZ21/'Balance Sheet'!CZ19</f>
        <v>2.558277869756255E-2</v>
      </c>
      <c r="DA60" s="216">
        <v>2.4716652987643119E-2</v>
      </c>
      <c r="DB60" s="216">
        <v>2.3976964688137127E-2</v>
      </c>
      <c r="DC60" s="216">
        <v>2.382952740497014E-2</v>
      </c>
      <c r="DD60" s="216">
        <v>2.3668564809109335E-2</v>
      </c>
      <c r="DE60" s="216">
        <v>2.3422784789675164E-2</v>
      </c>
      <c r="DF60" s="216">
        <v>2.3048010825798097E-2</v>
      </c>
      <c r="DG60" s="216">
        <v>2.2714073819499608E-2</v>
      </c>
      <c r="DH60" s="216">
        <v>2.2412128231149697E-2</v>
      </c>
      <c r="DI60" s="216">
        <v>2.2059457671936841E-2</v>
      </c>
      <c r="DJ60" s="216">
        <v>2.2170198589418082E-2</v>
      </c>
      <c r="DK60" s="216">
        <v>2.2212990922630779E-2</v>
      </c>
      <c r="DL60" s="216">
        <v>2.2272808690760908E-2</v>
      </c>
      <c r="DM60" s="216">
        <v>2.2280553140524611E-2</v>
      </c>
      <c r="DN60" s="216">
        <v>2.2304882863987494E-2</v>
      </c>
      <c r="DO60" s="216">
        <v>2.2340729669099453E-2</v>
      </c>
      <c r="DP60" s="216">
        <v>2.2386406375807435E-2</v>
      </c>
      <c r="DQ60" s="216">
        <v>2.238070825207239E-2</v>
      </c>
      <c r="DR60" s="216">
        <v>2.2393208613986835E-2</v>
      </c>
      <c r="DS60" s="216">
        <v>2.2431244389918614E-2</v>
      </c>
      <c r="DT60" s="216">
        <v>2.244381989452688E-2</v>
      </c>
      <c r="DU60" s="216">
        <v>2.2420471788017027E-2</v>
      </c>
      <c r="DV60" s="216">
        <v>2.2415710883312193E-2</v>
      </c>
      <c r="DW60" s="216">
        <v>2.2433272773461486E-2</v>
      </c>
      <c r="DX60" s="216">
        <v>2.2428379099707758E-2</v>
      </c>
    </row>
    <row r="61" spans="1:128">
      <c r="A61" s="225" t="s">
        <v>228</v>
      </c>
      <c r="B61" s="217"/>
      <c r="C61" s="217"/>
      <c r="D61" s="217"/>
      <c r="E61" s="217"/>
      <c r="F61" s="217"/>
      <c r="G61" s="217"/>
      <c r="H61" s="217"/>
      <c r="I61" s="217"/>
      <c r="J61" s="217" t="e">
        <f>'Balance Sheet'!J78/'Balance Sheet'!J71</f>
        <v>#DIV/0!</v>
      </c>
      <c r="K61" s="217" t="e">
        <f>'Balance Sheet'!K78/'Balance Sheet'!K71</f>
        <v>#DIV/0!</v>
      </c>
      <c r="L61" s="217" t="e">
        <f>'Balance Sheet'!L78/'Balance Sheet'!L71</f>
        <v>#DIV/0!</v>
      </c>
      <c r="M61" s="217" t="e">
        <f>'Balance Sheet'!M78/'Balance Sheet'!M71</f>
        <v>#DIV/0!</v>
      </c>
      <c r="N61" s="217">
        <f>'Balance Sheet'!N78/'Balance Sheet'!N71</f>
        <v>1.5381183322024665E-2</v>
      </c>
      <c r="O61" s="217">
        <f>'Balance Sheet'!O78/'Balance Sheet'!O71</f>
        <v>1.0295799054733226E-2</v>
      </c>
      <c r="P61" s="217">
        <f>'Balance Sheet'!P78/'Balance Sheet'!P71</f>
        <v>9.1320147636058339E-3</v>
      </c>
      <c r="Q61" s="219">
        <f>'Balance Sheet'!Q78/'Balance Sheet'!Q71</f>
        <v>1.2823742620649614E-2</v>
      </c>
      <c r="R61" s="219">
        <f>'Balance Sheet'!R78/'Balance Sheet'!R71</f>
        <v>2.3376921267133179E-2</v>
      </c>
      <c r="S61" s="219">
        <f>'Balance Sheet'!S78/'Balance Sheet'!S71</f>
        <v>1.9361249288896154E-2</v>
      </c>
      <c r="T61" s="217">
        <f>'Balance Sheet'!T78/'Balance Sheet'!T71</f>
        <v>1.8968508266137031E-2</v>
      </c>
      <c r="U61" s="216">
        <f>'Balance Sheet'!U78/'Balance Sheet'!U71</f>
        <v>2.4069306637336422E-2</v>
      </c>
      <c r="V61" s="216">
        <f>'Balance Sheet'!V78/'Balance Sheet'!V71</f>
        <v>2.4189598607132077E-2</v>
      </c>
      <c r="W61" s="216">
        <f>'Balance Sheet'!W78/'Balance Sheet'!W71</f>
        <v>1.9909265706312979E-2</v>
      </c>
      <c r="X61" s="216">
        <f>'Balance Sheet'!X78/'Balance Sheet'!X71</f>
        <v>1.8308505865556497E-2</v>
      </c>
      <c r="Y61" s="216">
        <f>'Balance Sheet'!Y78/'Balance Sheet'!Y71</f>
        <v>1.8409609827233376E-2</v>
      </c>
      <c r="Z61" s="216">
        <f>'Balance Sheet'!Z78/'Balance Sheet'!Z71</f>
        <v>1.8467306602682181E-2</v>
      </c>
      <c r="AA61" s="213"/>
      <c r="AB61" s="225" t="str">
        <f>A61</f>
        <v>Write offs, % of LTM loan loss reserves</v>
      </c>
      <c r="AC61" s="218">
        <v>0</v>
      </c>
      <c r="AD61" s="217" t="e">
        <f>'Balance Sheet'!AD78/'Balance Sheet'!AD71</f>
        <v>#DIV/0!</v>
      </c>
      <c r="AE61" s="217" t="e">
        <f>'Balance Sheet'!AE78/'Balance Sheet'!AE71</f>
        <v>#DIV/0!</v>
      </c>
      <c r="AF61" s="217" t="e">
        <f>'Balance Sheet'!AF78/'Balance Sheet'!AF71</f>
        <v>#DIV/0!</v>
      </c>
      <c r="AG61" s="217" t="e">
        <f>'Balance Sheet'!AG78/'Balance Sheet'!AG71</f>
        <v>#DIV/0!</v>
      </c>
      <c r="AH61" s="217" t="e">
        <f>'Balance Sheet'!AH78/'Balance Sheet'!AH71</f>
        <v>#DIV/0!</v>
      </c>
      <c r="AI61" s="217" t="e">
        <f>'Balance Sheet'!AI78/'Balance Sheet'!AI71</f>
        <v>#DIV/0!</v>
      </c>
      <c r="AJ61" s="217" t="e">
        <f>'Balance Sheet'!AJ78/'Balance Sheet'!AJ71</f>
        <v>#DIV/0!</v>
      </c>
      <c r="AK61" s="217" t="e">
        <f>'Balance Sheet'!AK78/'Balance Sheet'!AK71</f>
        <v>#DIV/0!</v>
      </c>
      <c r="AL61" s="217" t="e">
        <f>'Balance Sheet'!AL78/'Balance Sheet'!AL71</f>
        <v>#DIV/0!</v>
      </c>
      <c r="AM61" s="217" t="e">
        <f>'Balance Sheet'!AM78/'Balance Sheet'!AM71</f>
        <v>#DIV/0!</v>
      </c>
      <c r="AN61" s="217" t="e">
        <f>'Balance Sheet'!AN78/'Balance Sheet'!AN71</f>
        <v>#DIV/0!</v>
      </c>
      <c r="AO61" s="217" t="e">
        <f>'Balance Sheet'!AO78/'Balance Sheet'!AO71</f>
        <v>#DIV/0!</v>
      </c>
      <c r="AP61" s="217" t="e">
        <f>'Balance Sheet'!AP78/'Balance Sheet'!AP71</f>
        <v>#DIV/0!</v>
      </c>
      <c r="AQ61" s="217" t="e">
        <f>'Balance Sheet'!AQ78/'Balance Sheet'!AQ71</f>
        <v>#DIV/0!</v>
      </c>
      <c r="AR61" s="217" t="e">
        <f>'Balance Sheet'!AR78/'Balance Sheet'!AR71</f>
        <v>#DIV/0!</v>
      </c>
      <c r="AS61" s="217" t="e">
        <f>'Balance Sheet'!AS78/'Balance Sheet'!AS71</f>
        <v>#DIV/0!</v>
      </c>
      <c r="AT61" s="217" t="e">
        <f>'Balance Sheet'!AT78/'Balance Sheet'!AT71</f>
        <v>#DIV/0!</v>
      </c>
      <c r="AU61" s="217" t="e">
        <f>'Balance Sheet'!AU78/'Balance Sheet'!AU71</f>
        <v>#DIV/0!</v>
      </c>
      <c r="AV61" s="217" t="e">
        <f>'Balance Sheet'!AV78/'Balance Sheet'!AV71</f>
        <v>#DIV/0!</v>
      </c>
      <c r="AW61" s="217" t="e">
        <f>'Balance Sheet'!AW78/'Balance Sheet'!AW71</f>
        <v>#DIV/0!</v>
      </c>
      <c r="AX61" s="217" t="e">
        <f>'Balance Sheet'!AX78/'Balance Sheet'!AX71</f>
        <v>#DIV/0!</v>
      </c>
      <c r="AY61" s="217" t="e">
        <f>'Balance Sheet'!AY78/'Balance Sheet'!AY71</f>
        <v>#DIV/0!</v>
      </c>
      <c r="AZ61" s="217" t="e">
        <f>'Balance Sheet'!AZ78/'Balance Sheet'!AZ71</f>
        <v>#DIV/0!</v>
      </c>
      <c r="BA61" s="217" t="e">
        <f>'Balance Sheet'!BA78/'Balance Sheet'!BA71</f>
        <v>#DIV/0!</v>
      </c>
      <c r="BB61" s="217" t="e">
        <f>'Balance Sheet'!BB78/'Balance Sheet'!BB71</f>
        <v>#DIV/0!</v>
      </c>
      <c r="BC61" s="217" t="e">
        <f>'Balance Sheet'!BC78/'Balance Sheet'!BC71</f>
        <v>#DIV/0!</v>
      </c>
      <c r="BD61" s="217" t="e">
        <f>'Balance Sheet'!BD78/'Balance Sheet'!BD71</f>
        <v>#DIV/0!</v>
      </c>
      <c r="BE61" s="217" t="e">
        <f>'Balance Sheet'!BE78/'Balance Sheet'!BE71</f>
        <v>#DIV/0!</v>
      </c>
      <c r="BF61" s="217" t="e">
        <f>'Balance Sheet'!BF78/'Balance Sheet'!BF71</f>
        <v>#DIV/0!</v>
      </c>
      <c r="BG61" s="217" t="e">
        <f>'Balance Sheet'!BG78/'Balance Sheet'!BG71</f>
        <v>#DIV/0!</v>
      </c>
      <c r="BH61" s="217" t="e">
        <f>'Balance Sheet'!BH78/'Balance Sheet'!BH71</f>
        <v>#DIV/0!</v>
      </c>
      <c r="BI61" s="217" t="e">
        <f>-'Balance Sheet'!BI78/AVERAGE('Balance Sheet'!BE80:BH80)</f>
        <v>#DIV/0!</v>
      </c>
      <c r="BJ61" s="217" t="e">
        <f>-'Balance Sheet'!BJ78/AVERAGE('Balance Sheet'!BF80:BI80)</f>
        <v>#DIV/0!</v>
      </c>
      <c r="BK61" s="217" t="e">
        <f>-'Balance Sheet'!BK78/AVERAGE('Balance Sheet'!BG80:BJ80)</f>
        <v>#DIV/0!</v>
      </c>
      <c r="BL61" s="217" t="e">
        <f>-'Balance Sheet'!BL78/AVERAGE('Balance Sheet'!BH80:BK80)</f>
        <v>#DIV/0!</v>
      </c>
      <c r="BM61" s="217" t="e">
        <f>-'Balance Sheet'!BM78/AVERAGE('Balance Sheet'!BI80:BL80)</f>
        <v>#DIV/0!</v>
      </c>
      <c r="BN61" s="217" t="e">
        <f>-'Balance Sheet'!BN78/AVERAGE('Balance Sheet'!BJ80:BM80)</f>
        <v>#DIV/0!</v>
      </c>
      <c r="BO61" s="217" t="e">
        <f>-'Balance Sheet'!BO78/AVERAGE('Balance Sheet'!BK80:BN80)</f>
        <v>#DIV/0!</v>
      </c>
      <c r="BP61" s="217" t="e">
        <f>-'Balance Sheet'!BP78/AVERAGE('Balance Sheet'!BL80:BO80)</f>
        <v>#DIV/0!</v>
      </c>
      <c r="BQ61" s="217" t="e">
        <f>-'Balance Sheet'!BQ78/AVERAGE('Balance Sheet'!BM80:BP80)</f>
        <v>#DIV/0!</v>
      </c>
      <c r="BR61" s="217" t="e">
        <f>-'Balance Sheet'!BR78/AVERAGE('Balance Sheet'!BN80:BQ80)</f>
        <v>#DIV/0!</v>
      </c>
      <c r="BS61" s="217" t="e">
        <f>-'Balance Sheet'!BS78/AVERAGE('Balance Sheet'!BO80:BR80)</f>
        <v>#DIV/0!</v>
      </c>
      <c r="BT61" s="217" t="e">
        <f>-'Balance Sheet'!BT78/AVERAGE('Balance Sheet'!BP80:BS80)</f>
        <v>#DIV/0!</v>
      </c>
      <c r="BU61" s="217" t="e">
        <f>-'Balance Sheet'!BU78/AVERAGE('Balance Sheet'!BQ80:BT80)</f>
        <v>#DIV/0!</v>
      </c>
      <c r="BV61" s="217" t="e">
        <f>-'Balance Sheet'!BV78/AVERAGE('Balance Sheet'!BR80:BU80)</f>
        <v>#DIV/0!</v>
      </c>
      <c r="BW61" s="217" t="e">
        <f>-'Balance Sheet'!BW78/AVERAGE('Balance Sheet'!BS80:BV80)</f>
        <v>#DIV/0!</v>
      </c>
      <c r="BX61" s="217" t="e">
        <f>-'Balance Sheet'!BX78/AVERAGE('Balance Sheet'!BT80:BW80)</f>
        <v>#DIV/0!</v>
      </c>
      <c r="BY61" s="217" t="e">
        <f>-'Balance Sheet'!BY78/AVERAGE('Balance Sheet'!BU80:BX80)</f>
        <v>#DIV/0!</v>
      </c>
      <c r="BZ61" s="217">
        <f>-'Balance Sheet'!BZ78/AVERAGE('Balance Sheet'!BV80:BY80)</f>
        <v>0.34870719192303856</v>
      </c>
      <c r="CA61" s="217">
        <f>-'Balance Sheet'!CA78/AVERAGE('Balance Sheet'!BW80:BZ80)</f>
        <v>0.1484292175712755</v>
      </c>
      <c r="CB61" s="217">
        <f>-'Balance Sheet'!CB78/AVERAGE('Balance Sheet'!BX80:CA80)</f>
        <v>0.14345001298676346</v>
      </c>
      <c r="CC61" s="217">
        <f>-'Balance Sheet'!CC78/AVERAGE('Balance Sheet'!BY80:CB80)</f>
        <v>8.1290135686645046E-2</v>
      </c>
      <c r="CD61" s="217">
        <f>-'Balance Sheet'!CD78/AVERAGE('Balance Sheet'!BZ80:CC80)</f>
        <v>0.10223342227663708</v>
      </c>
      <c r="CE61" s="217">
        <f>-'Balance Sheet'!CE78/AVERAGE('Balance Sheet'!CA80:CD80)</f>
        <v>9.7257663007849854E-2</v>
      </c>
      <c r="CF61" s="217">
        <f>-'Balance Sheet'!CF78/AVERAGE('Balance Sheet'!CB80:CE80)</f>
        <v>0.10046826036226644</v>
      </c>
      <c r="CG61" s="217">
        <f>-'Balance Sheet'!CG78/AVERAGE('Balance Sheet'!CC80:CF80)</f>
        <v>5.7955932944559828E-2</v>
      </c>
      <c r="CH61" s="217">
        <f>-'Balance Sheet'!CH78/AVERAGE('Balance Sheet'!CD80:CG80)</f>
        <v>8.2911474449459482E-2</v>
      </c>
      <c r="CI61" s="217">
        <f>-'Balance Sheet'!CI78/AVERAGE('Balance Sheet'!CE80:CH80)</f>
        <v>8.4369702294557355E-2</v>
      </c>
      <c r="CJ61" s="217">
        <f>-'Balance Sheet'!CJ78/AVERAGE('Balance Sheet'!CF80:CI80)</f>
        <v>0.10884204501478877</v>
      </c>
      <c r="CK61" s="217">
        <f>-'Balance Sheet'!CK78/AVERAGE('Balance Sheet'!CG80:CJ80)</f>
        <v>7.1717421548760527E-2</v>
      </c>
      <c r="CL61" s="217">
        <f>-'Balance Sheet'!CL78/AVERAGE('Balance Sheet'!CH80:CK80)</f>
        <v>0.10946067081447727</v>
      </c>
      <c r="CM61" s="217">
        <f>-'Balance Sheet'!CM78/AVERAGE('Balance Sheet'!CI80:CL80)</f>
        <v>0.12158688489835814</v>
      </c>
      <c r="CN61" s="217">
        <f>-'Balance Sheet'!CN78/AVERAGE('Balance Sheet'!CJ80:CM80)</f>
        <v>0.14371505550060507</v>
      </c>
      <c r="CO61" s="217">
        <f>-'Balance Sheet'!CO78/AVERAGE('Balance Sheet'!CK80:CN80)</f>
        <v>9.0982224800519179E-2</v>
      </c>
      <c r="CP61" s="217">
        <f>-'Balance Sheet'!CP78/AVERAGE('Balance Sheet'!CL80:CO80)</f>
        <v>0.11019653402460965</v>
      </c>
      <c r="CQ61" s="217">
        <f>-'Balance Sheet'!CQ78/AVERAGE('Balance Sheet'!CM80:CP80)</f>
        <v>0.12434587150884863</v>
      </c>
      <c r="CR61" s="217">
        <f>-'Balance Sheet'!CR78/AVERAGE('Balance Sheet'!CN80:CQ80)</f>
        <v>0.12532223240423973</v>
      </c>
      <c r="CS61" s="217">
        <f>-'Balance Sheet'!CS78/AVERAGE('Balance Sheet'!CO80:CR80)</f>
        <v>0.12701065389780122</v>
      </c>
      <c r="CT61" s="217">
        <f>-'Balance Sheet'!CT78/AVERAGE('Balance Sheet'!CP80:CS80)</f>
        <v>0.1230413210048662</v>
      </c>
      <c r="CU61" s="217">
        <f>-'Balance Sheet'!CU78/AVERAGE('Balance Sheet'!CQ80:CT80)</f>
        <v>0.16037263631291329</v>
      </c>
      <c r="CV61" s="217">
        <f>-'Balance Sheet'!CV78/AVERAGE('Balance Sheet'!CR80:CU80)</f>
        <v>0.14427232750558022</v>
      </c>
      <c r="CW61" s="217">
        <f>-'Balance Sheet'!CW78/AVERAGE('Balance Sheet'!CS80:CV80)</f>
        <v>0.11894922105834652</v>
      </c>
      <c r="CX61" s="217">
        <f>-'Balance Sheet'!CX78/AVERAGE('Balance Sheet'!CT80:CW80)</f>
        <v>0.10870260905163051</v>
      </c>
      <c r="CY61" s="217">
        <f>-'Balance Sheet'!CY78/AVERAGE('Balance Sheet'!CU80:CX80)</f>
        <v>0.13055854745182707</v>
      </c>
      <c r="CZ61" s="217">
        <f>-'Balance Sheet'!CZ78/AVERAGE('Balance Sheet'!CV80:CY80)</f>
        <v>0.12687943522978895</v>
      </c>
      <c r="DA61" s="216">
        <v>0.14499999999999999</v>
      </c>
      <c r="DB61" s="216">
        <v>0.15</v>
      </c>
      <c r="DC61" s="216">
        <v>0.155</v>
      </c>
      <c r="DD61" s="216">
        <v>0.16</v>
      </c>
      <c r="DE61" s="216">
        <v>0.16500000000000001</v>
      </c>
      <c r="DF61" s="216">
        <v>0.17</v>
      </c>
      <c r="DG61" s="216">
        <v>0.17</v>
      </c>
      <c r="DH61" s="216">
        <v>0.16500000000000001</v>
      </c>
      <c r="DI61" s="216">
        <v>0.16</v>
      </c>
      <c r="DJ61" s="216">
        <v>0.155</v>
      </c>
      <c r="DK61" s="216">
        <v>0.15</v>
      </c>
      <c r="DL61" s="216">
        <v>0.14499999999999999</v>
      </c>
      <c r="DM61" s="216">
        <v>0.14499999999999999</v>
      </c>
      <c r="DN61" s="216">
        <v>0.14249999999999999</v>
      </c>
      <c r="DO61" s="216">
        <v>0.14000000000000001</v>
      </c>
      <c r="DP61" s="216">
        <v>0.14000000000000001</v>
      </c>
      <c r="DQ61" s="216">
        <v>0.14000000000000001</v>
      </c>
      <c r="DR61" s="216">
        <v>0.14000000000000001</v>
      </c>
      <c r="DS61" s="216">
        <v>0.14000000000000001</v>
      </c>
      <c r="DT61" s="216">
        <v>0.14000000000000001</v>
      </c>
      <c r="DU61" s="216">
        <v>0.14000000000000001</v>
      </c>
      <c r="DV61" s="216">
        <v>0.14000000000000001</v>
      </c>
      <c r="DW61" s="216">
        <v>0.14000000000000001</v>
      </c>
      <c r="DX61" s="216">
        <v>0.14000000000000001</v>
      </c>
    </row>
    <row r="62" spans="1:128">
      <c r="A62" s="41"/>
      <c r="B62" s="217"/>
      <c r="C62" s="217"/>
      <c r="D62" s="217"/>
      <c r="E62" s="217"/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152"/>
      <c r="R62" s="152"/>
      <c r="S62" s="152"/>
      <c r="T62" s="234"/>
      <c r="U62" s="151"/>
      <c r="V62" s="151"/>
      <c r="W62" s="151"/>
      <c r="X62" s="151"/>
      <c r="Y62" s="151"/>
      <c r="Z62" s="151"/>
      <c r="AA62" s="213"/>
      <c r="AB62" s="41"/>
      <c r="AC62" s="233"/>
      <c r="AD62" s="217"/>
      <c r="AE62" s="217"/>
      <c r="AF62" s="217"/>
      <c r="AG62" s="217"/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  <c r="BI62" s="217"/>
      <c r="BJ62" s="217"/>
      <c r="BK62" s="217"/>
      <c r="BL62" s="217"/>
      <c r="BM62" s="217"/>
      <c r="BN62" s="217"/>
      <c r="BO62" s="217"/>
      <c r="BP62" s="217"/>
      <c r="BQ62" s="217"/>
      <c r="BR62" s="217"/>
      <c r="BS62" s="217"/>
      <c r="BT62" s="217"/>
      <c r="BU62" s="217"/>
      <c r="BV62" s="217"/>
      <c r="BW62" s="217"/>
      <c r="BX62" s="217"/>
      <c r="BY62" s="217"/>
      <c r="BZ62" s="217"/>
      <c r="CA62" s="217"/>
      <c r="CB62" s="217"/>
      <c r="CC62" s="217"/>
      <c r="CD62" s="217"/>
      <c r="CE62" s="217"/>
      <c r="CF62" s="217"/>
      <c r="CG62" s="217"/>
      <c r="CH62" s="217"/>
      <c r="CI62" s="217"/>
      <c r="CJ62" s="217"/>
      <c r="CK62" s="217"/>
      <c r="CL62" s="151"/>
      <c r="CM62" s="151"/>
      <c r="CN62" s="151"/>
      <c r="CO62" s="151"/>
      <c r="CP62" s="151"/>
      <c r="CQ62" s="151"/>
      <c r="CR62" s="151"/>
      <c r="CS62" s="151"/>
      <c r="CT62" s="151"/>
      <c r="CU62" s="151"/>
      <c r="CV62" s="151"/>
      <c r="CW62" s="151"/>
      <c r="CX62" s="151"/>
      <c r="CY62" s="151"/>
      <c r="CZ62" s="151"/>
      <c r="DA62" s="151"/>
      <c r="DB62" s="151"/>
      <c r="DC62" s="151"/>
      <c r="DD62" s="151"/>
      <c r="DE62" s="151"/>
      <c r="DF62" s="151"/>
      <c r="DG62" s="151"/>
      <c r="DH62" s="151"/>
      <c r="DI62" s="151"/>
      <c r="DJ62" s="151"/>
      <c r="DK62" s="151"/>
      <c r="DL62" s="151"/>
      <c r="DM62" s="151"/>
      <c r="DN62" s="151"/>
      <c r="DO62" s="151"/>
      <c r="DP62" s="151"/>
      <c r="DQ62" s="151"/>
      <c r="DR62" s="151"/>
      <c r="DS62" s="151"/>
      <c r="DT62" s="151"/>
      <c r="DU62" s="151"/>
      <c r="DV62" s="151"/>
      <c r="DW62" s="151"/>
      <c r="DX62" s="151"/>
    </row>
    <row r="63" spans="1:128">
      <c r="A63" s="232" t="s">
        <v>216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152"/>
      <c r="R63" s="152"/>
      <c r="S63" s="152"/>
      <c r="T63" s="234"/>
      <c r="U63" s="151"/>
      <c r="V63" s="151"/>
      <c r="W63" s="151"/>
      <c r="X63" s="151"/>
      <c r="Y63" s="151"/>
      <c r="Z63" s="151"/>
      <c r="AA63" s="213"/>
      <c r="AB63" s="232" t="str">
        <f>A63</f>
        <v>Insurance</v>
      </c>
      <c r="AC63" s="229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  <c r="BI63" s="217"/>
      <c r="BJ63" s="217"/>
      <c r="BK63" s="217"/>
      <c r="BL63" s="217"/>
      <c r="BM63" s="217"/>
      <c r="BN63" s="217"/>
      <c r="BO63" s="217"/>
      <c r="BP63" s="217"/>
      <c r="BQ63" s="217"/>
      <c r="BR63" s="217"/>
      <c r="BS63" s="217"/>
      <c r="BT63" s="217"/>
      <c r="BU63" s="217"/>
      <c r="BV63" s="217"/>
      <c r="BW63" s="217"/>
      <c r="BX63" s="217"/>
      <c r="BY63" s="217"/>
      <c r="BZ63" s="217"/>
      <c r="CA63" s="217"/>
      <c r="CB63" s="217"/>
      <c r="CC63" s="217"/>
      <c r="CD63" s="217"/>
      <c r="CE63" s="217"/>
      <c r="CF63" s="217"/>
      <c r="CG63" s="217"/>
      <c r="CH63" s="217"/>
      <c r="CI63" s="217"/>
      <c r="CJ63" s="217"/>
      <c r="CK63" s="217"/>
      <c r="CL63" s="228"/>
      <c r="CM63" s="228"/>
      <c r="CN63" s="228"/>
      <c r="CO63" s="228"/>
      <c r="CP63" s="228"/>
      <c r="CQ63" s="228"/>
      <c r="CR63" s="228"/>
      <c r="CS63" s="228"/>
      <c r="CT63" s="228"/>
      <c r="CU63" s="228"/>
      <c r="CV63" s="228"/>
      <c r="CW63" s="228"/>
      <c r="CX63" s="228"/>
      <c r="CY63" s="228"/>
      <c r="CZ63" s="228"/>
      <c r="DA63" s="228"/>
      <c r="DB63" s="228"/>
      <c r="DC63" s="228"/>
      <c r="DD63" s="228"/>
      <c r="DE63" s="228"/>
      <c r="DF63" s="228"/>
      <c r="DG63" s="228"/>
      <c r="DH63" s="228"/>
      <c r="DI63" s="228"/>
      <c r="DJ63" s="228"/>
      <c r="DK63" s="228"/>
      <c r="DL63" s="228"/>
      <c r="DM63" s="228"/>
      <c r="DN63" s="228"/>
      <c r="DO63" s="228"/>
      <c r="DP63" s="228"/>
      <c r="DQ63" s="228"/>
      <c r="DR63" s="228"/>
      <c r="DS63" s="228"/>
      <c r="DT63" s="228"/>
      <c r="DU63" s="228"/>
      <c r="DV63" s="228"/>
      <c r="DW63" s="228"/>
      <c r="DX63" s="228"/>
    </row>
    <row r="64" spans="1:128">
      <c r="A64" s="225" t="s">
        <v>227</v>
      </c>
      <c r="B64" s="217"/>
      <c r="C64" s="217"/>
      <c r="D64" s="217"/>
      <c r="E64" s="217"/>
      <c r="F64" s="217"/>
      <c r="G64" s="217"/>
      <c r="H64" s="217"/>
      <c r="I64" s="217"/>
      <c r="J64" s="217" t="e">
        <f>'Balance Sheet'!J25/'Balance Sheet'!J43</f>
        <v>#DIV/0!</v>
      </c>
      <c r="K64" s="217" t="e">
        <f>'Balance Sheet'!K25/'Balance Sheet'!K43</f>
        <v>#DIV/0!</v>
      </c>
      <c r="L64" s="217" t="e">
        <f>'Balance Sheet'!L25/'Balance Sheet'!L43</f>
        <v>#DIV/0!</v>
      </c>
      <c r="M64" s="217" t="e">
        <f>'Balance Sheet'!M25/'Balance Sheet'!M43</f>
        <v>#DIV/0!</v>
      </c>
      <c r="N64" s="217">
        <f>'Balance Sheet'!N25/'Balance Sheet'!N43</f>
        <v>0.15601169032068049</v>
      </c>
      <c r="O64" s="217">
        <f>'Balance Sheet'!O25/'Balance Sheet'!O43</f>
        <v>0.15886308380320008</v>
      </c>
      <c r="P64" s="217">
        <f>'Balance Sheet'!P25/'Balance Sheet'!P43</f>
        <v>0.13052355480222799</v>
      </c>
      <c r="Q64" s="152">
        <f>'Balance Sheet'!Q25/'Balance Sheet'!Q43</f>
        <v>0.12193556033014319</v>
      </c>
      <c r="R64" s="152">
        <f>'Balance Sheet'!R25/'Balance Sheet'!R43</f>
        <v>0.13570773293435964</v>
      </c>
      <c r="S64" s="152">
        <f>'Balance Sheet'!S25/'Balance Sheet'!S43</f>
        <v>0.59950926342129962</v>
      </c>
      <c r="T64" s="234">
        <f>'Balance Sheet'!T25/'Balance Sheet'!T43</f>
        <v>0.51989747356953686</v>
      </c>
      <c r="U64" s="151">
        <f>'Balance Sheet'!U25/'Balance Sheet'!U43</f>
        <v>0.15</v>
      </c>
      <c r="V64" s="151">
        <f>'Balance Sheet'!V25/'Balance Sheet'!V43</f>
        <v>0.15</v>
      </c>
      <c r="W64" s="151">
        <f>'Balance Sheet'!W25/'Balance Sheet'!W43</f>
        <v>0.15</v>
      </c>
      <c r="X64" s="151">
        <f>'Balance Sheet'!X25/'Balance Sheet'!X43</f>
        <v>0.15</v>
      </c>
      <c r="Y64" s="151">
        <f>'Balance Sheet'!Y25/'Balance Sheet'!Y43</f>
        <v>0.15</v>
      </c>
      <c r="Z64" s="151">
        <f>'Balance Sheet'!Z25/'Balance Sheet'!Z43</f>
        <v>0.15</v>
      </c>
      <c r="AA64" s="213"/>
      <c r="AB64" s="225" t="str">
        <f>A64</f>
        <v>Reinsurance assets, % of total reserves</v>
      </c>
      <c r="AC64" s="229"/>
      <c r="AD64" s="217" t="e">
        <f>'Balance Sheet'!AD25/'Balance Sheet'!AD43</f>
        <v>#DIV/0!</v>
      </c>
      <c r="AE64" s="217" t="e">
        <f>'Balance Sheet'!AE25/'Balance Sheet'!AE43</f>
        <v>#DIV/0!</v>
      </c>
      <c r="AF64" s="217" t="e">
        <f>'Balance Sheet'!AF25/'Balance Sheet'!AF43</f>
        <v>#DIV/0!</v>
      </c>
      <c r="AG64" s="217" t="e">
        <f>'Balance Sheet'!AG25/'Balance Sheet'!AG43</f>
        <v>#DIV/0!</v>
      </c>
      <c r="AH64" s="217" t="e">
        <f>'Balance Sheet'!AH25/'Balance Sheet'!AH43</f>
        <v>#DIV/0!</v>
      </c>
      <c r="AI64" s="217" t="e">
        <f>'Balance Sheet'!AI25/'Balance Sheet'!AI43</f>
        <v>#DIV/0!</v>
      </c>
      <c r="AJ64" s="217" t="e">
        <f>'Balance Sheet'!AJ25/'Balance Sheet'!AJ43</f>
        <v>#DIV/0!</v>
      </c>
      <c r="AK64" s="217" t="e">
        <f>'Balance Sheet'!AK25/'Balance Sheet'!AK43</f>
        <v>#DIV/0!</v>
      </c>
      <c r="AL64" s="217" t="e">
        <f>'Balance Sheet'!AL25/'Balance Sheet'!AL43</f>
        <v>#DIV/0!</v>
      </c>
      <c r="AM64" s="217" t="e">
        <f>'Balance Sheet'!AM25/'Balance Sheet'!AM43</f>
        <v>#DIV/0!</v>
      </c>
      <c r="AN64" s="217" t="e">
        <f>'Balance Sheet'!AN25/'Balance Sheet'!AN43</f>
        <v>#DIV/0!</v>
      </c>
      <c r="AO64" s="217" t="e">
        <f>'Balance Sheet'!AO25/'Balance Sheet'!AO43</f>
        <v>#DIV/0!</v>
      </c>
      <c r="AP64" s="217" t="e">
        <f>'Balance Sheet'!AP25/'Balance Sheet'!AP43</f>
        <v>#DIV/0!</v>
      </c>
      <c r="AQ64" s="217" t="e">
        <f>'Balance Sheet'!AQ25/'Balance Sheet'!AQ43</f>
        <v>#DIV/0!</v>
      </c>
      <c r="AR64" s="217" t="e">
        <f>'Balance Sheet'!AR25/'Balance Sheet'!AR43</f>
        <v>#DIV/0!</v>
      </c>
      <c r="AS64" s="217" t="e">
        <f>'Balance Sheet'!AS25/'Balance Sheet'!AS43</f>
        <v>#DIV/0!</v>
      </c>
      <c r="AT64" s="217" t="e">
        <f>'Balance Sheet'!AT25/'Balance Sheet'!AT43</f>
        <v>#DIV/0!</v>
      </c>
      <c r="AU64" s="217" t="e">
        <f>'Balance Sheet'!AU25/'Balance Sheet'!AU43</f>
        <v>#DIV/0!</v>
      </c>
      <c r="AV64" s="217" t="e">
        <f>'Balance Sheet'!AV25/'Balance Sheet'!AV43</f>
        <v>#DIV/0!</v>
      </c>
      <c r="AW64" s="217" t="e">
        <f>'Balance Sheet'!AW25/'Balance Sheet'!AW43</f>
        <v>#DIV/0!</v>
      </c>
      <c r="AX64" s="217" t="e">
        <f>'Balance Sheet'!AX25/'Balance Sheet'!AX43</f>
        <v>#DIV/0!</v>
      </c>
      <c r="AY64" s="217" t="e">
        <f>'Balance Sheet'!AY25/'Balance Sheet'!AY43</f>
        <v>#DIV/0!</v>
      </c>
      <c r="AZ64" s="217" t="e">
        <f>'Balance Sheet'!AZ25/'Balance Sheet'!AZ43</f>
        <v>#DIV/0!</v>
      </c>
      <c r="BA64" s="217" t="e">
        <f>'Balance Sheet'!BA25/'Balance Sheet'!BA43</f>
        <v>#DIV/0!</v>
      </c>
      <c r="BB64" s="217" t="e">
        <f>'Balance Sheet'!BB25/'Balance Sheet'!BB43</f>
        <v>#DIV/0!</v>
      </c>
      <c r="BC64" s="217" t="e">
        <f>'Balance Sheet'!BC25/'Balance Sheet'!BC43</f>
        <v>#DIV/0!</v>
      </c>
      <c r="BD64" s="217" t="e">
        <f>'Balance Sheet'!BD25/'Balance Sheet'!BD43</f>
        <v>#DIV/0!</v>
      </c>
      <c r="BE64" s="217" t="e">
        <f>'Balance Sheet'!BE25/'Balance Sheet'!BE43</f>
        <v>#DIV/0!</v>
      </c>
      <c r="BF64" s="217" t="e">
        <f>'Balance Sheet'!BF25/'Balance Sheet'!BF43</f>
        <v>#DIV/0!</v>
      </c>
      <c r="BG64" s="217" t="e">
        <f>'Balance Sheet'!BG25/'Balance Sheet'!BG43</f>
        <v>#DIV/0!</v>
      </c>
      <c r="BH64" s="217" t="e">
        <f>'Balance Sheet'!BH25/'Balance Sheet'!BH43</f>
        <v>#DIV/0!</v>
      </c>
      <c r="BI64" s="217" t="e">
        <f>'Balance Sheet'!BI25/'Balance Sheet'!BI43</f>
        <v>#DIV/0!</v>
      </c>
      <c r="BJ64" s="217" t="e">
        <f>'Balance Sheet'!BJ25/'Balance Sheet'!BJ43</f>
        <v>#DIV/0!</v>
      </c>
      <c r="BK64" s="217" t="e">
        <f>'Balance Sheet'!BK25/'Balance Sheet'!BK43</f>
        <v>#DIV/0!</v>
      </c>
      <c r="BL64" s="217" t="e">
        <f>'Balance Sheet'!BL25/'Balance Sheet'!BL43</f>
        <v>#DIV/0!</v>
      </c>
      <c r="BM64" s="217" t="e">
        <f>'Balance Sheet'!BM25/'Balance Sheet'!BM43</f>
        <v>#DIV/0!</v>
      </c>
      <c r="BN64" s="217" t="e">
        <f>'Balance Sheet'!BN25/'Balance Sheet'!BN43</f>
        <v>#DIV/0!</v>
      </c>
      <c r="BO64" s="217" t="e">
        <f>'Balance Sheet'!BO25/'Balance Sheet'!BO43</f>
        <v>#DIV/0!</v>
      </c>
      <c r="BP64" s="217" t="e">
        <f>'Balance Sheet'!BP25/'Balance Sheet'!BP43</f>
        <v>#DIV/0!</v>
      </c>
      <c r="BQ64" s="217" t="e">
        <f>'Balance Sheet'!BQ25/'Balance Sheet'!BQ43</f>
        <v>#DIV/0!</v>
      </c>
      <c r="BR64" s="217" t="e">
        <f>'Balance Sheet'!BR25/'Balance Sheet'!BR43</f>
        <v>#DIV/0!</v>
      </c>
      <c r="BS64" s="217" t="e">
        <f>'Balance Sheet'!BS25/'Balance Sheet'!BS43</f>
        <v>#DIV/0!</v>
      </c>
      <c r="BT64" s="217" t="e">
        <f>'Balance Sheet'!BT25/'Balance Sheet'!BT43</f>
        <v>#DIV/0!</v>
      </c>
      <c r="BU64" s="217" t="e">
        <f>'Balance Sheet'!BU25/'Balance Sheet'!BU43</f>
        <v>#DIV/0!</v>
      </c>
      <c r="BV64" s="217" t="e">
        <f>'Balance Sheet'!BV25/'Balance Sheet'!BV43</f>
        <v>#DIV/0!</v>
      </c>
      <c r="BW64" s="217" t="e">
        <f>'Balance Sheet'!BW25/'Balance Sheet'!BW43</f>
        <v>#DIV/0!</v>
      </c>
      <c r="BX64" s="217" t="e">
        <f>'Balance Sheet'!BX25/'Balance Sheet'!BX43</f>
        <v>#DIV/0!</v>
      </c>
      <c r="BY64" s="217">
        <f>'Balance Sheet'!BY25/'Balance Sheet'!BY43</f>
        <v>0.21086705473272693</v>
      </c>
      <c r="BZ64" s="217">
        <f>'Balance Sheet'!BZ25/'Balance Sheet'!BZ43</f>
        <v>0.21025287521588867</v>
      </c>
      <c r="CA64" s="217">
        <f>'Balance Sheet'!CA25/'Balance Sheet'!CA43</f>
        <v>0.15520593150038631</v>
      </c>
      <c r="CB64" s="217">
        <f>'Balance Sheet'!CB25/'Balance Sheet'!CB43</f>
        <v>0.15601169032068049</v>
      </c>
      <c r="CC64" s="217">
        <f>'Balance Sheet'!CC25/'Balance Sheet'!CC43</f>
        <v>0.16109429662108385</v>
      </c>
      <c r="CD64" s="217">
        <f>'Balance Sheet'!CD25/'Balance Sheet'!CD43</f>
        <v>0.16183266551393558</v>
      </c>
      <c r="CE64" s="217">
        <f>'Balance Sheet'!CE25/'Balance Sheet'!CE43</f>
        <v>0.15164310892924804</v>
      </c>
      <c r="CF64" s="217">
        <f>'Balance Sheet'!CF25/'Balance Sheet'!CF43</f>
        <v>0.15886308380320008</v>
      </c>
      <c r="CG64" s="217">
        <f>'Balance Sheet'!CG25/'Balance Sheet'!CG43</f>
        <v>0.13352420821394451</v>
      </c>
      <c r="CH64" s="217">
        <f>'Balance Sheet'!CH25/'Balance Sheet'!CH43</f>
        <v>0.11766827997471775</v>
      </c>
      <c r="CI64" s="217">
        <f>'Balance Sheet'!CI25/'Balance Sheet'!CI43</f>
        <v>0.11850898318863183</v>
      </c>
      <c r="CJ64" s="217">
        <f>'Balance Sheet'!CJ25/'Balance Sheet'!CJ43</f>
        <v>0.13052355480222799</v>
      </c>
      <c r="CK64" s="217">
        <f>'Balance Sheet'!CK25/'Balance Sheet'!CK43</f>
        <v>0.13482854292338023</v>
      </c>
      <c r="CL64" s="217">
        <f>'Balance Sheet'!CL25/'Balance Sheet'!CL43</f>
        <v>0.12754568884455775</v>
      </c>
      <c r="CM64" s="217">
        <f>'Balance Sheet'!CM25/'Balance Sheet'!CM43</f>
        <v>0.10959747475786619</v>
      </c>
      <c r="CN64" s="217">
        <f>'Balance Sheet'!CN25/'Balance Sheet'!CN43</f>
        <v>0.12193556033014319</v>
      </c>
      <c r="CO64" s="217">
        <f>'Balance Sheet'!CO25/'Balance Sheet'!CO43</f>
        <v>0.13495363391141205</v>
      </c>
      <c r="CP64" s="217">
        <f>'Balance Sheet'!CP25/'Balance Sheet'!CP43</f>
        <v>0.12948839677234938</v>
      </c>
      <c r="CQ64" s="217">
        <f>'Balance Sheet'!CQ25/'Balance Sheet'!CQ43</f>
        <v>0.12924463575808814</v>
      </c>
      <c r="CR64" s="217">
        <f>'Balance Sheet'!CR25/'Balance Sheet'!CR43</f>
        <v>0.13570773293435964</v>
      </c>
      <c r="CS64" s="217">
        <f>'Balance Sheet'!CS25/'Balance Sheet'!CS43</f>
        <v>0.55670328554524118</v>
      </c>
      <c r="CT64" s="217">
        <f>'Balance Sheet'!CT25/'Balance Sheet'!CT43</f>
        <v>0.53546690764189053</v>
      </c>
      <c r="CU64" s="217">
        <f>'Balance Sheet'!CU25/'Balance Sheet'!CU43</f>
        <v>0.52305038002600002</v>
      </c>
      <c r="CV64" s="217">
        <f>'Balance Sheet'!CV25/'Balance Sheet'!CV43</f>
        <v>0.59950926342129962</v>
      </c>
      <c r="CW64" s="217">
        <f>'Balance Sheet'!CW25/'Balance Sheet'!CW43</f>
        <v>0.56909628856219718</v>
      </c>
      <c r="CX64" s="217">
        <f>'Balance Sheet'!CX25/'Balance Sheet'!CX43</f>
        <v>0.49162075326483989</v>
      </c>
      <c r="CY64" s="217">
        <f>'Balance Sheet'!CY25/'Balance Sheet'!CY43</f>
        <v>0.51932676044717629</v>
      </c>
      <c r="CZ64" s="217">
        <f>'Balance Sheet'!CZ25/'Balance Sheet'!CZ43</f>
        <v>0.51989747356953686</v>
      </c>
      <c r="DA64" s="216">
        <v>0.15</v>
      </c>
      <c r="DB64" s="216">
        <v>0.15</v>
      </c>
      <c r="DC64" s="216">
        <v>0.15</v>
      </c>
      <c r="DD64" s="216">
        <v>0.15</v>
      </c>
      <c r="DE64" s="216">
        <v>0.15</v>
      </c>
      <c r="DF64" s="216">
        <v>0.15</v>
      </c>
      <c r="DG64" s="216">
        <v>0.15</v>
      </c>
      <c r="DH64" s="216">
        <v>0.15</v>
      </c>
      <c r="DI64" s="216">
        <v>0.15</v>
      </c>
      <c r="DJ64" s="216">
        <v>0.15</v>
      </c>
      <c r="DK64" s="216">
        <v>0.15</v>
      </c>
      <c r="DL64" s="216">
        <v>0.15</v>
      </c>
      <c r="DM64" s="216">
        <v>0.15</v>
      </c>
      <c r="DN64" s="216">
        <v>0.15</v>
      </c>
      <c r="DO64" s="216">
        <v>0.15</v>
      </c>
      <c r="DP64" s="216">
        <v>0.15</v>
      </c>
      <c r="DQ64" s="216">
        <v>0.15</v>
      </c>
      <c r="DR64" s="216">
        <v>0.15</v>
      </c>
      <c r="DS64" s="216">
        <v>0.15</v>
      </c>
      <c r="DT64" s="216">
        <v>0.15</v>
      </c>
      <c r="DU64" s="216">
        <v>0.15</v>
      </c>
      <c r="DV64" s="216">
        <v>0.15</v>
      </c>
      <c r="DW64" s="216">
        <v>0.15</v>
      </c>
      <c r="DX64" s="216">
        <v>0.15</v>
      </c>
    </row>
    <row r="65" spans="1:128">
      <c r="A65" s="231" t="s">
        <v>226</v>
      </c>
      <c r="B65" s="217"/>
      <c r="C65" s="217"/>
      <c r="D65" s="217"/>
      <c r="E65" s="217"/>
      <c r="F65" s="217"/>
      <c r="G65" s="217"/>
      <c r="H65" s="217"/>
      <c r="I65" s="217"/>
      <c r="J65" s="217" t="e">
        <f>'Balance Sheet'!J26/SUM('Income Statement'!J23)</f>
        <v>#DIV/0!</v>
      </c>
      <c r="K65" s="217" t="e">
        <f>'Balance Sheet'!K26/SUM('Income Statement'!K23)</f>
        <v>#DIV/0!</v>
      </c>
      <c r="L65" s="217" t="e">
        <f>'Balance Sheet'!L26/SUM('Income Statement'!L23)</f>
        <v>#DIV/0!</v>
      </c>
      <c r="M65" s="217" t="e">
        <f>'Balance Sheet'!M26/SUM('Income Statement'!M23)</f>
        <v>#DIV/0!</v>
      </c>
      <c r="N65" s="217">
        <f>'Balance Sheet'!N26/SUM('Income Statement'!N23)</f>
        <v>0.27520943322653374</v>
      </c>
      <c r="O65" s="217">
        <f>'Balance Sheet'!O26/SUM('Income Statement'!O23)</f>
        <v>0.26734697218249265</v>
      </c>
      <c r="P65" s="217">
        <f>'Balance Sheet'!P26/SUM('Income Statement'!P23)</f>
        <v>0.29724164389899238</v>
      </c>
      <c r="Q65" s="219">
        <f>'Balance Sheet'!Q26/SUM('Income Statement'!Q23)</f>
        <v>0.25313736115360352</v>
      </c>
      <c r="R65" s="219">
        <f>'Balance Sheet'!R26/SUM('Income Statement'!R23)</f>
        <v>0.26961641538354059</v>
      </c>
      <c r="S65" s="219">
        <f>'Balance Sheet'!S26/SUM('Income Statement'!S23)</f>
        <v>0.26427494241947869</v>
      </c>
      <c r="T65" s="217">
        <f>'Balance Sheet'!T26/SUM('Income Statement'!T23)</f>
        <v>0.38107932005000944</v>
      </c>
      <c r="U65" s="216">
        <f>'Balance Sheet'!U26/SUM('Income Statement'!U23)</f>
        <v>0.27</v>
      </c>
      <c r="V65" s="216">
        <f>'Balance Sheet'!V26/SUM('Income Statement'!V23)</f>
        <v>0.27</v>
      </c>
      <c r="W65" s="216">
        <f>'Balance Sheet'!W26/SUM('Income Statement'!W23)</f>
        <v>0.27</v>
      </c>
      <c r="X65" s="216">
        <f>'Balance Sheet'!X26/SUM('Income Statement'!X23)</f>
        <v>0.27</v>
      </c>
      <c r="Y65" s="216">
        <f>'Balance Sheet'!Y26/SUM('Income Statement'!Y23)</f>
        <v>0.27</v>
      </c>
      <c r="Z65" s="216">
        <f>'Balance Sheet'!Z26/SUM('Income Statement'!Z23)</f>
        <v>0.27</v>
      </c>
      <c r="AA65" s="213"/>
      <c r="AB65" s="231" t="str">
        <f>A65</f>
        <v>Premiums and other policyholder receivables, % of LTM net premiums</v>
      </c>
      <c r="AC65" s="230">
        <v>0</v>
      </c>
      <c r="AD65" s="217">
        <f>'Balance Sheet'!AD26/SUM('Income Statement'!V23:AD23)</f>
        <v>0</v>
      </c>
      <c r="AE65" s="217" t="e">
        <f>'Balance Sheet'!AE26/SUM('Income Statement'!AB23:AE23)</f>
        <v>#DIV/0!</v>
      </c>
      <c r="AF65" s="217" t="e">
        <f>'Balance Sheet'!AF26/SUM('Income Statement'!AC23:AF23)</f>
        <v>#DIV/0!</v>
      </c>
      <c r="AG65" s="217" t="e">
        <f>'Balance Sheet'!AG26/SUM('Income Statement'!AD23:AG23)</f>
        <v>#DIV/0!</v>
      </c>
      <c r="AH65" s="217" t="e">
        <f>'Balance Sheet'!AH26/SUM('Income Statement'!AE23:AH23)</f>
        <v>#DIV/0!</v>
      </c>
      <c r="AI65" s="217" t="e">
        <f>'Balance Sheet'!AI26/SUM('Income Statement'!AF23:AI23)</f>
        <v>#DIV/0!</v>
      </c>
      <c r="AJ65" s="217" t="e">
        <f>'Balance Sheet'!AJ26/SUM('Income Statement'!AG23:AJ23)</f>
        <v>#DIV/0!</v>
      </c>
      <c r="AK65" s="217" t="e">
        <f>'Balance Sheet'!AK26/SUM('Income Statement'!AH23:AK23)</f>
        <v>#DIV/0!</v>
      </c>
      <c r="AL65" s="217" t="e">
        <f>'Balance Sheet'!AL26/SUM('Income Statement'!AI23:AL23)</f>
        <v>#DIV/0!</v>
      </c>
      <c r="AM65" s="217" t="e">
        <f>'Balance Sheet'!AM26/SUM('Income Statement'!AJ23:AM23)</f>
        <v>#DIV/0!</v>
      </c>
      <c r="AN65" s="217" t="e">
        <f>'Balance Sheet'!AN26/SUM('Income Statement'!AK23:AN23)</f>
        <v>#DIV/0!</v>
      </c>
      <c r="AO65" s="217" t="e">
        <f>'Balance Sheet'!AO26/SUM('Income Statement'!AL23:AO23)</f>
        <v>#DIV/0!</v>
      </c>
      <c r="AP65" s="217" t="e">
        <f>'Balance Sheet'!AP26/SUM('Income Statement'!AM23:AP23)</f>
        <v>#DIV/0!</v>
      </c>
      <c r="AQ65" s="217" t="e">
        <f>'Balance Sheet'!AQ26/SUM('Income Statement'!AN23:AQ23)</f>
        <v>#DIV/0!</v>
      </c>
      <c r="AR65" s="217" t="e">
        <f>'Balance Sheet'!AR26/SUM('Income Statement'!AO23:AR23)</f>
        <v>#DIV/0!</v>
      </c>
      <c r="AS65" s="217" t="e">
        <f>'Balance Sheet'!AS26/SUM('Income Statement'!AP23:AS23)</f>
        <v>#DIV/0!</v>
      </c>
      <c r="AT65" s="217" t="e">
        <f>'Balance Sheet'!AT26/SUM('Income Statement'!AQ23:AT23)</f>
        <v>#DIV/0!</v>
      </c>
      <c r="AU65" s="217" t="e">
        <f>'Balance Sheet'!AU26/SUM('Income Statement'!AR23:AU23)</f>
        <v>#DIV/0!</v>
      </c>
      <c r="AV65" s="217" t="e">
        <f>'Balance Sheet'!AV26/SUM('Income Statement'!AS23:AV23)</f>
        <v>#DIV/0!</v>
      </c>
      <c r="AW65" s="217" t="e">
        <f>'Balance Sheet'!AW26/SUM('Income Statement'!AT23:AW23)</f>
        <v>#DIV/0!</v>
      </c>
      <c r="AX65" s="217" t="e">
        <f>'Balance Sheet'!AX26/SUM('Income Statement'!AU23:AX23)</f>
        <v>#DIV/0!</v>
      </c>
      <c r="AY65" s="217" t="e">
        <f>'Balance Sheet'!AY26/SUM('Income Statement'!AV23:AY23)</f>
        <v>#DIV/0!</v>
      </c>
      <c r="AZ65" s="217" t="e">
        <f>'Balance Sheet'!AZ26/SUM('Income Statement'!AW23:AZ23)</f>
        <v>#DIV/0!</v>
      </c>
      <c r="BA65" s="217" t="e">
        <f>'Balance Sheet'!BA26/SUM('Income Statement'!AX23:BA23)</f>
        <v>#DIV/0!</v>
      </c>
      <c r="BB65" s="217" t="e">
        <f>'Balance Sheet'!BB26/SUM('Income Statement'!AY23:BB23)</f>
        <v>#DIV/0!</v>
      </c>
      <c r="BC65" s="217" t="e">
        <f>'Balance Sheet'!BC26/SUM('Income Statement'!AZ23:BC23)</f>
        <v>#DIV/0!</v>
      </c>
      <c r="BD65" s="217" t="e">
        <f>'Balance Sheet'!BD26/SUM('Income Statement'!BA23:BD23)</f>
        <v>#DIV/0!</v>
      </c>
      <c r="BE65" s="217" t="e">
        <f>'Balance Sheet'!BE26/SUM('Income Statement'!BB23:BE23)</f>
        <v>#DIV/0!</v>
      </c>
      <c r="BF65" s="217" t="e">
        <f>'Balance Sheet'!BF26/SUM('Income Statement'!BC23:BF23)</f>
        <v>#DIV/0!</v>
      </c>
      <c r="BG65" s="217" t="e">
        <f>'Balance Sheet'!BG26/SUM('Income Statement'!BD23:BG23)</f>
        <v>#DIV/0!</v>
      </c>
      <c r="BH65" s="217" t="e">
        <f>'Balance Sheet'!BH26/SUM('Income Statement'!BE23:BH23)</f>
        <v>#DIV/0!</v>
      </c>
      <c r="BI65" s="217" t="e">
        <f>'Balance Sheet'!BI26/SUM('Income Statement'!BF23:BI23)</f>
        <v>#DIV/0!</v>
      </c>
      <c r="BJ65" s="217" t="e">
        <f>'Balance Sheet'!BJ26/SUM('Income Statement'!BG23:BJ23)</f>
        <v>#DIV/0!</v>
      </c>
      <c r="BK65" s="217" t="e">
        <f>'Balance Sheet'!BK26/SUM('Income Statement'!BH23:BK23)</f>
        <v>#DIV/0!</v>
      </c>
      <c r="BL65" s="217" t="e">
        <f>'Balance Sheet'!BL26/SUM('Income Statement'!BI23:BL23)</f>
        <v>#DIV/0!</v>
      </c>
      <c r="BM65" s="217" t="e">
        <f>'Balance Sheet'!BM26/SUM('Income Statement'!BJ23:BM23)</f>
        <v>#DIV/0!</v>
      </c>
      <c r="BN65" s="217" t="e">
        <f>'Balance Sheet'!BN26/SUM('Income Statement'!BK23:BN23)</f>
        <v>#DIV/0!</v>
      </c>
      <c r="BO65" s="217" t="e">
        <f>'Balance Sheet'!BO26/SUM('Income Statement'!BL23:BO23)</f>
        <v>#DIV/0!</v>
      </c>
      <c r="BP65" s="217" t="e">
        <f>'Balance Sheet'!BP26/SUM('Income Statement'!BM23:BP23)</f>
        <v>#DIV/0!</v>
      </c>
      <c r="BQ65" s="217" t="e">
        <f>'Balance Sheet'!BQ26/SUM('Income Statement'!BN23:BQ23)</f>
        <v>#DIV/0!</v>
      </c>
      <c r="BR65" s="217" t="e">
        <f>'Balance Sheet'!BR26/SUM('Income Statement'!BO23:BR23)</f>
        <v>#DIV/0!</v>
      </c>
      <c r="BS65" s="217" t="e">
        <f>'Balance Sheet'!BS26/SUM('Income Statement'!BP23:BS23)</f>
        <v>#DIV/0!</v>
      </c>
      <c r="BT65" s="217" t="e">
        <f>'Balance Sheet'!BT26/SUM('Income Statement'!BQ23:BT23)</f>
        <v>#DIV/0!</v>
      </c>
      <c r="BU65" s="217" t="e">
        <f>'Balance Sheet'!BU26/SUM('Income Statement'!BR23:BU23)</f>
        <v>#DIV/0!</v>
      </c>
      <c r="BV65" s="217" t="e">
        <f>'Balance Sheet'!BV26/SUM('Income Statement'!BS23:BV23)</f>
        <v>#DIV/0!</v>
      </c>
      <c r="BW65" s="217" t="e">
        <f>'Balance Sheet'!BW26/SUM('Income Statement'!BT23:BW23)</f>
        <v>#DIV/0!</v>
      </c>
      <c r="BX65" s="217" t="e">
        <f>'Balance Sheet'!BX26/SUM('Income Statement'!BU23:BX23)</f>
        <v>#DIV/0!</v>
      </c>
      <c r="BY65" s="217">
        <f>'Balance Sheet'!BY26/SUM('Income Statement'!BV23:BY23)</f>
        <v>0.98547684743120467</v>
      </c>
      <c r="BZ65" s="217">
        <f>'Balance Sheet'!BZ26/SUM('Income Statement'!BW23:BZ23)</f>
        <v>0.5201130561471019</v>
      </c>
      <c r="CA65" s="217">
        <f>'Balance Sheet'!CA26/SUM('Income Statement'!BX23:CA23)</f>
        <v>0.33598701257692137</v>
      </c>
      <c r="CB65" s="217">
        <f>'Balance Sheet'!CB26/SUM('Income Statement'!BY23:CB23)</f>
        <v>0.27520943322653374</v>
      </c>
      <c r="CC65" s="217">
        <f>'Balance Sheet'!CC26/SUM('Income Statement'!BZ23:CC23)</f>
        <v>0.21974715488768268</v>
      </c>
      <c r="CD65" s="217">
        <f>'Balance Sheet'!CD26/SUM('Income Statement'!CA23:CD23)</f>
        <v>0.22614791852632132</v>
      </c>
      <c r="CE65" s="217">
        <f>'Balance Sheet'!CE26/SUM('Income Statement'!CB23:CE23)</f>
        <v>0.25652179680858578</v>
      </c>
      <c r="CF65" s="217">
        <f>'Balance Sheet'!CF26/SUM('Income Statement'!CC23:CF23)</f>
        <v>0.26734697218249265</v>
      </c>
      <c r="CG65" s="217">
        <f>'Balance Sheet'!CG26/SUM('Income Statement'!CD23:CG23)</f>
        <v>0.23290606792802679</v>
      </c>
      <c r="CH65" s="217">
        <f>'Balance Sheet'!CH26/SUM('Income Statement'!CE23:CH23)</f>
        <v>0.24745890803227943</v>
      </c>
      <c r="CI65" s="217">
        <f>'Balance Sheet'!CI26/SUM('Income Statement'!CF23:CI23)</f>
        <v>0.24978943481952018</v>
      </c>
      <c r="CJ65" s="217">
        <f>'Balance Sheet'!CJ26/SUM('Income Statement'!CG23:CJ23)</f>
        <v>0.29724164389899238</v>
      </c>
      <c r="CK65" s="217">
        <f>'Balance Sheet'!CK26/SUM('Income Statement'!CH23:CK23)</f>
        <v>0.27837785263080089</v>
      </c>
      <c r="CL65" s="217">
        <f>'Balance Sheet'!CL26/SUM('Income Statement'!CI23:CL23)</f>
        <v>0.26560972012535772</v>
      </c>
      <c r="CM65" s="217">
        <f>'Balance Sheet'!CM26/SUM('Income Statement'!CJ23:CM23)</f>
        <v>0.26431416532110091</v>
      </c>
      <c r="CN65" s="217">
        <f>'Balance Sheet'!CN26/SUM('Income Statement'!CK23:CN23)</f>
        <v>0.25313736115360352</v>
      </c>
      <c r="CO65" s="217">
        <f>'Balance Sheet'!CO26/SUM('Income Statement'!CL23:CO23)</f>
        <v>0.26607015933722461</v>
      </c>
      <c r="CP65" s="217">
        <f>'Balance Sheet'!CP26/SUM('Income Statement'!CM23:CP23)</f>
        <v>0.28748648822057166</v>
      </c>
      <c r="CQ65" s="217">
        <f>'Balance Sheet'!CQ26/SUM('Income Statement'!CN23:CQ23)</f>
        <v>0.27572961346777991</v>
      </c>
      <c r="CR65" s="217">
        <f>'Balance Sheet'!CR26/SUM('Income Statement'!CO23:CR23)</f>
        <v>0.26961641538354059</v>
      </c>
      <c r="CS65" s="217">
        <f>'Balance Sheet'!CS26/SUM('Income Statement'!CP23:CS23)</f>
        <v>0.2607652654617727</v>
      </c>
      <c r="CT65" s="217">
        <f>'Balance Sheet'!CT26/SUM('Income Statement'!CQ23:CT23)</f>
        <v>0.27097475358150952</v>
      </c>
      <c r="CU65" s="217">
        <f>'Balance Sheet'!CU26/SUM('Income Statement'!CR23:CU23)</f>
        <v>0.28422907112160217</v>
      </c>
      <c r="CV65" s="217">
        <f>'Balance Sheet'!CV26/SUM('Income Statement'!CS23:CV23)</f>
        <v>0.26427494241947869</v>
      </c>
      <c r="CW65" s="217">
        <f>'Balance Sheet'!CW26/SUM('Income Statement'!CT23:CW23)</f>
        <v>0.30005091026198538</v>
      </c>
      <c r="CX65" s="217">
        <f>'Balance Sheet'!CX26/SUM('Income Statement'!CU23:CX23)</f>
        <v>0.29187381264275758</v>
      </c>
      <c r="CY65" s="217">
        <f>'Balance Sheet'!CY26/SUM('Income Statement'!CV23:CY23)</f>
        <v>0.32703983495514044</v>
      </c>
      <c r="CZ65" s="217">
        <f>'Balance Sheet'!CZ26/SUM('Income Statement'!CW23:CZ23)</f>
        <v>0.38107932005000944</v>
      </c>
      <c r="DA65" s="216">
        <v>0.27</v>
      </c>
      <c r="DB65" s="216">
        <v>0.27</v>
      </c>
      <c r="DC65" s="216">
        <v>0.27</v>
      </c>
      <c r="DD65" s="216">
        <v>0.27</v>
      </c>
      <c r="DE65" s="216">
        <v>0.27</v>
      </c>
      <c r="DF65" s="216">
        <v>0.27</v>
      </c>
      <c r="DG65" s="216">
        <v>0.27</v>
      </c>
      <c r="DH65" s="216">
        <v>0.27</v>
      </c>
      <c r="DI65" s="216">
        <v>0.27</v>
      </c>
      <c r="DJ65" s="216">
        <v>0.27</v>
      </c>
      <c r="DK65" s="216">
        <v>0.27</v>
      </c>
      <c r="DL65" s="216">
        <v>0.27</v>
      </c>
      <c r="DM65" s="216">
        <v>0.27</v>
      </c>
      <c r="DN65" s="216">
        <v>0.27</v>
      </c>
      <c r="DO65" s="216">
        <v>0.27</v>
      </c>
      <c r="DP65" s="216">
        <v>0.27</v>
      </c>
      <c r="DQ65" s="216">
        <v>0.27</v>
      </c>
      <c r="DR65" s="216">
        <v>0.27</v>
      </c>
      <c r="DS65" s="216">
        <v>0.27</v>
      </c>
      <c r="DT65" s="216">
        <v>0.27</v>
      </c>
      <c r="DU65" s="216">
        <v>0.27</v>
      </c>
      <c r="DV65" s="216">
        <v>0.27</v>
      </c>
      <c r="DW65" s="216">
        <v>0.27</v>
      </c>
      <c r="DX65" s="216">
        <v>0.27</v>
      </c>
    </row>
    <row r="66" spans="1:128">
      <c r="A66" s="225"/>
      <c r="B66" s="217"/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152"/>
      <c r="R66" s="152"/>
      <c r="S66" s="152"/>
      <c r="T66" s="234"/>
      <c r="U66" s="151"/>
      <c r="V66" s="151"/>
      <c r="W66" s="151"/>
      <c r="X66" s="151"/>
      <c r="Y66" s="151"/>
      <c r="Z66" s="151"/>
      <c r="AA66" s="213"/>
      <c r="AB66" s="225"/>
      <c r="AC66" s="229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28"/>
      <c r="CM66" s="228"/>
      <c r="CN66" s="228"/>
      <c r="CO66" s="228"/>
      <c r="CP66" s="228"/>
      <c r="CQ66" s="228"/>
      <c r="CR66" s="228"/>
      <c r="CS66" s="228"/>
      <c r="CT66" s="228"/>
      <c r="CU66" s="228"/>
      <c r="CV66" s="228"/>
      <c r="CW66" s="228"/>
      <c r="CX66" s="228"/>
      <c r="CY66" s="228"/>
      <c r="CZ66" s="228"/>
      <c r="DA66" s="228"/>
      <c r="DB66" s="228"/>
      <c r="DC66" s="228"/>
      <c r="DD66" s="228"/>
      <c r="DE66" s="228"/>
      <c r="DF66" s="228"/>
      <c r="DG66" s="228"/>
      <c r="DH66" s="228"/>
      <c r="DI66" s="228"/>
      <c r="DJ66" s="228"/>
      <c r="DK66" s="228"/>
      <c r="DL66" s="228"/>
      <c r="DM66" s="228"/>
      <c r="DN66" s="228"/>
      <c r="DO66" s="228"/>
      <c r="DP66" s="228"/>
      <c r="DQ66" s="228"/>
      <c r="DR66" s="228"/>
      <c r="DS66" s="228"/>
      <c r="DT66" s="228"/>
      <c r="DU66" s="228"/>
      <c r="DV66" s="228"/>
      <c r="DW66" s="228"/>
      <c r="DX66" s="228"/>
    </row>
    <row r="67" spans="1:128">
      <c r="A67" s="61" t="s">
        <v>152</v>
      </c>
      <c r="B67" s="217"/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27"/>
      <c r="R67" s="227"/>
      <c r="S67" s="227"/>
      <c r="T67" s="611"/>
      <c r="U67" s="226"/>
      <c r="V67" s="226"/>
      <c r="W67" s="226"/>
      <c r="X67" s="226"/>
      <c r="Y67" s="226"/>
      <c r="Z67" s="226"/>
      <c r="AA67" s="213"/>
      <c r="AB67" s="61" t="str">
        <f>A67</f>
        <v>Other assets</v>
      </c>
      <c r="AC67" s="220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151"/>
      <c r="CM67" s="151"/>
      <c r="CN67" s="151"/>
      <c r="CO67" s="151"/>
      <c r="CP67" s="151"/>
      <c r="CQ67" s="151"/>
      <c r="CR67" s="151"/>
      <c r="CS67" s="151"/>
      <c r="CT67" s="151"/>
      <c r="CU67" s="151"/>
      <c r="CV67" s="151"/>
      <c r="CW67" s="151"/>
      <c r="CX67" s="151"/>
      <c r="CY67" s="151"/>
      <c r="CZ67" s="151"/>
      <c r="DA67" s="151"/>
      <c r="DB67" s="151"/>
      <c r="DC67" s="151"/>
      <c r="DD67" s="151"/>
      <c r="DE67" s="151"/>
      <c r="DF67" s="151"/>
      <c r="DG67" s="151"/>
      <c r="DH67" s="151"/>
      <c r="DI67" s="151"/>
      <c r="DJ67" s="151"/>
      <c r="DK67" s="151"/>
      <c r="DL67" s="151"/>
      <c r="DM67" s="151"/>
      <c r="DN67" s="151"/>
      <c r="DO67" s="151"/>
      <c r="DP67" s="151"/>
      <c r="DQ67" s="151"/>
      <c r="DR67" s="151"/>
      <c r="DS67" s="151"/>
      <c r="DT67" s="151"/>
      <c r="DU67" s="151"/>
      <c r="DV67" s="151"/>
      <c r="DW67" s="151"/>
      <c r="DX67" s="151"/>
    </row>
    <row r="68" spans="1:128">
      <c r="A68" s="41" t="s">
        <v>225</v>
      </c>
      <c r="B68" s="217"/>
      <c r="C68" s="217"/>
      <c r="D68" s="217"/>
      <c r="E68" s="217"/>
      <c r="F68" s="217"/>
      <c r="G68" s="217"/>
      <c r="H68" s="217"/>
      <c r="I68" s="217"/>
      <c r="J68" s="217" t="e">
        <f>'Balance Sheet'!J28/'Balance Sheet'!I28-1</f>
        <v>#DIV/0!</v>
      </c>
      <c r="K68" s="217" t="e">
        <f>'Balance Sheet'!K28/'Balance Sheet'!J28-1</f>
        <v>#DIV/0!</v>
      </c>
      <c r="L68" s="217" t="e">
        <f>'Balance Sheet'!L28/'Balance Sheet'!K28-1</f>
        <v>#DIV/0!</v>
      </c>
      <c r="M68" s="217" t="e">
        <f>'Balance Sheet'!M28/'Balance Sheet'!L28-1</f>
        <v>#DIV/0!</v>
      </c>
      <c r="N68" s="217" t="e">
        <f>'Balance Sheet'!N28/'Balance Sheet'!M28-1</f>
        <v>#DIV/0!</v>
      </c>
      <c r="O68" s="217">
        <f>'Balance Sheet'!O28/'Balance Sheet'!N28-1</f>
        <v>5.4507597843513667E-2</v>
      </c>
      <c r="P68" s="217">
        <f>'Balance Sheet'!P28/'Balance Sheet'!O28-1</f>
        <v>0.13916830219141918</v>
      </c>
      <c r="Q68" s="219">
        <f>'Balance Sheet'!Q28/'Balance Sheet'!P28-1</f>
        <v>0.20362166187526354</v>
      </c>
      <c r="R68" s="219">
        <f>'Balance Sheet'!R28/'Balance Sheet'!Q28-1</f>
        <v>0.37433984354836203</v>
      </c>
      <c r="S68" s="219">
        <f>'Balance Sheet'!S28/'Balance Sheet'!R28-1</f>
        <v>4.386042543634594E-2</v>
      </c>
      <c r="T68" s="217">
        <f>'Balance Sheet'!T28/'Balance Sheet'!S28-1</f>
        <v>-0.10479875350503987</v>
      </c>
      <c r="U68" s="216">
        <f>'Balance Sheet'!U28/'Balance Sheet'!T28-1</f>
        <v>4.0604010000000024E-2</v>
      </c>
      <c r="V68" s="216">
        <f>'Balance Sheet'!V28/'Balance Sheet'!U28-1</f>
        <v>4.0604010000000024E-2</v>
      </c>
      <c r="W68" s="216">
        <f>'Balance Sheet'!W28/'Balance Sheet'!V28-1</f>
        <v>4.0604010000000024E-2</v>
      </c>
      <c r="X68" s="216">
        <f>'Balance Sheet'!X28/'Balance Sheet'!W28-1</f>
        <v>4.0604009999999802E-2</v>
      </c>
      <c r="Y68" s="216">
        <f>'Balance Sheet'!Y28/'Balance Sheet'!X28-1</f>
        <v>4.0604010000000024E-2</v>
      </c>
      <c r="Z68" s="216">
        <f>'Balance Sheet'!Z28/'Balance Sheet'!Y28-1</f>
        <v>4.0604010000000024E-2</v>
      </c>
      <c r="AA68" s="213"/>
      <c r="AB68" s="41" t="str">
        <f>A68</f>
        <v>PP&amp;E, % growth</v>
      </c>
      <c r="AC68" s="218">
        <v>0</v>
      </c>
      <c r="AD68" s="217" t="e">
        <f>'Balance Sheet'!AD28/'Balance Sheet'!AC28-1</f>
        <v>#DIV/0!</v>
      </c>
      <c r="AE68" s="217" t="e">
        <f>'Balance Sheet'!AE28/'Balance Sheet'!AD28-1</f>
        <v>#DIV/0!</v>
      </c>
      <c r="AF68" s="217" t="e">
        <f>'Balance Sheet'!AF28/'Balance Sheet'!AE28-1</f>
        <v>#DIV/0!</v>
      </c>
      <c r="AG68" s="217" t="e">
        <f>'Balance Sheet'!AG28/'Balance Sheet'!AF28-1</f>
        <v>#DIV/0!</v>
      </c>
      <c r="AH68" s="217" t="e">
        <f>'Balance Sheet'!AH28/'Balance Sheet'!AG28-1</f>
        <v>#DIV/0!</v>
      </c>
      <c r="AI68" s="217" t="e">
        <f>'Balance Sheet'!AI28/'Balance Sheet'!AH28-1</f>
        <v>#DIV/0!</v>
      </c>
      <c r="AJ68" s="217" t="e">
        <f>'Balance Sheet'!AJ28/'Balance Sheet'!AI28-1</f>
        <v>#DIV/0!</v>
      </c>
      <c r="AK68" s="217" t="e">
        <f>'Balance Sheet'!AK28/'Balance Sheet'!AJ28-1</f>
        <v>#DIV/0!</v>
      </c>
      <c r="AL68" s="217" t="e">
        <f>'Balance Sheet'!AL28/'Balance Sheet'!AK28-1</f>
        <v>#DIV/0!</v>
      </c>
      <c r="AM68" s="217" t="e">
        <f>'Balance Sheet'!AM28/'Balance Sheet'!AL28-1</f>
        <v>#DIV/0!</v>
      </c>
      <c r="AN68" s="217" t="e">
        <f>'Balance Sheet'!AN28/'Balance Sheet'!AM28-1</f>
        <v>#DIV/0!</v>
      </c>
      <c r="AO68" s="217" t="e">
        <f>'Balance Sheet'!AO28/'Balance Sheet'!AN28-1</f>
        <v>#DIV/0!</v>
      </c>
      <c r="AP68" s="217" t="e">
        <f>'Balance Sheet'!AP28/'Balance Sheet'!AO28-1</f>
        <v>#DIV/0!</v>
      </c>
      <c r="AQ68" s="217" t="e">
        <f>'Balance Sheet'!AQ28/'Balance Sheet'!AP28-1</f>
        <v>#DIV/0!</v>
      </c>
      <c r="AR68" s="217" t="e">
        <f>'Balance Sheet'!AR28/'Balance Sheet'!AQ28-1</f>
        <v>#DIV/0!</v>
      </c>
      <c r="AS68" s="217" t="e">
        <f>'Balance Sheet'!AS28/'Balance Sheet'!AR28-1</f>
        <v>#DIV/0!</v>
      </c>
      <c r="AT68" s="217" t="e">
        <f>'Balance Sheet'!AT28/'Balance Sheet'!AS28-1</f>
        <v>#DIV/0!</v>
      </c>
      <c r="AU68" s="217" t="e">
        <f>'Balance Sheet'!AU28/'Balance Sheet'!AT28-1</f>
        <v>#DIV/0!</v>
      </c>
      <c r="AV68" s="217" t="e">
        <f>'Balance Sheet'!AV28/'Balance Sheet'!AU28-1</f>
        <v>#DIV/0!</v>
      </c>
      <c r="AW68" s="217" t="e">
        <f>'Balance Sheet'!AW28/'Balance Sheet'!AV28-1</f>
        <v>#DIV/0!</v>
      </c>
      <c r="AX68" s="217" t="e">
        <f>'Balance Sheet'!AX28/'Balance Sheet'!AW28-1</f>
        <v>#DIV/0!</v>
      </c>
      <c r="AY68" s="217" t="e">
        <f>'Balance Sheet'!AY28/'Balance Sheet'!AX28-1</f>
        <v>#DIV/0!</v>
      </c>
      <c r="AZ68" s="217" t="e">
        <f>'Balance Sheet'!AZ28/'Balance Sheet'!AY28-1</f>
        <v>#DIV/0!</v>
      </c>
      <c r="BA68" s="217" t="e">
        <f>'Balance Sheet'!BA28/'Balance Sheet'!AZ28-1</f>
        <v>#DIV/0!</v>
      </c>
      <c r="BB68" s="217" t="e">
        <f>'Balance Sheet'!BB28/'Balance Sheet'!BA28-1</f>
        <v>#DIV/0!</v>
      </c>
      <c r="BC68" s="217" t="e">
        <f>'Balance Sheet'!BC28/'Balance Sheet'!BB28-1</f>
        <v>#DIV/0!</v>
      </c>
      <c r="BD68" s="217" t="e">
        <f>'Balance Sheet'!BD28/'Balance Sheet'!BC28-1</f>
        <v>#DIV/0!</v>
      </c>
      <c r="BE68" s="217" t="e">
        <f>'Balance Sheet'!BE28/'Balance Sheet'!BD28-1</f>
        <v>#DIV/0!</v>
      </c>
      <c r="BF68" s="217" t="e">
        <f>'Balance Sheet'!BF28/'Balance Sheet'!BE28-1</f>
        <v>#DIV/0!</v>
      </c>
      <c r="BG68" s="217" t="e">
        <f>'Balance Sheet'!BG28/'Balance Sheet'!BF28-1</f>
        <v>#DIV/0!</v>
      </c>
      <c r="BH68" s="217" t="e">
        <f>'Balance Sheet'!BH28/'Balance Sheet'!BG28-1</f>
        <v>#DIV/0!</v>
      </c>
      <c r="BI68" s="217" t="e">
        <f>'Balance Sheet'!BI28/'Balance Sheet'!BH28-1</f>
        <v>#DIV/0!</v>
      </c>
      <c r="BJ68" s="217" t="e">
        <f>'Balance Sheet'!BJ28/'Balance Sheet'!BI28-1</f>
        <v>#DIV/0!</v>
      </c>
      <c r="BK68" s="217" t="e">
        <f>'Balance Sheet'!BK28/'Balance Sheet'!BJ28-1</f>
        <v>#DIV/0!</v>
      </c>
      <c r="BL68" s="217" t="e">
        <f>'Balance Sheet'!BL28/'Balance Sheet'!BK28-1</f>
        <v>#DIV/0!</v>
      </c>
      <c r="BM68" s="217" t="e">
        <f>'Balance Sheet'!BM28/'Balance Sheet'!BL28-1</f>
        <v>#DIV/0!</v>
      </c>
      <c r="BN68" s="217" t="e">
        <f>'Balance Sheet'!BN28/'Balance Sheet'!BM28-1</f>
        <v>#DIV/0!</v>
      </c>
      <c r="BO68" s="217" t="e">
        <f>'Balance Sheet'!BO28/'Balance Sheet'!BN28-1</f>
        <v>#DIV/0!</v>
      </c>
      <c r="BP68" s="217" t="e">
        <f>'Balance Sheet'!BP28/'Balance Sheet'!BO28-1</f>
        <v>#DIV/0!</v>
      </c>
      <c r="BQ68" s="217" t="e">
        <f>'Balance Sheet'!BQ28/'Balance Sheet'!BP28-1</f>
        <v>#DIV/0!</v>
      </c>
      <c r="BR68" s="217" t="e">
        <f>'Balance Sheet'!BR28/'Balance Sheet'!BQ28-1</f>
        <v>#DIV/0!</v>
      </c>
      <c r="BS68" s="217" t="e">
        <f>'Balance Sheet'!BS28/'Balance Sheet'!BR28-1</f>
        <v>#DIV/0!</v>
      </c>
      <c r="BT68" s="217" t="e">
        <f>'Balance Sheet'!BT28/'Balance Sheet'!BS28-1</f>
        <v>#DIV/0!</v>
      </c>
      <c r="BU68" s="217" t="e">
        <f>'Balance Sheet'!BU28/'Balance Sheet'!BT28-1</f>
        <v>#DIV/0!</v>
      </c>
      <c r="BV68" s="217" t="e">
        <f>'Balance Sheet'!BV28/'Balance Sheet'!BU28-1</f>
        <v>#DIV/0!</v>
      </c>
      <c r="BW68" s="217" t="e">
        <f>'Balance Sheet'!BW28/'Balance Sheet'!BV28-1</f>
        <v>#DIV/0!</v>
      </c>
      <c r="BX68" s="217" t="e">
        <f>'Balance Sheet'!BX28/'Balance Sheet'!BW28-1</f>
        <v>#DIV/0!</v>
      </c>
      <c r="BY68" s="217" t="e">
        <f>'Balance Sheet'!BY28/'Balance Sheet'!BX28-1</f>
        <v>#DIV/0!</v>
      </c>
      <c r="BZ68" s="217">
        <f>'Balance Sheet'!BZ28/'Balance Sheet'!BY28-1</f>
        <v>-5.2852798134994217E-2</v>
      </c>
      <c r="CA68" s="217">
        <f>'Balance Sheet'!CA28/'Balance Sheet'!BZ28-1</f>
        <v>-4.4951277695719161E-2</v>
      </c>
      <c r="CB68" s="217">
        <f>'Balance Sheet'!CB28/'Balance Sheet'!CA28-1</f>
        <v>6.6769920117318415E-2</v>
      </c>
      <c r="CC68" s="217">
        <f>'Balance Sheet'!CC28/'Balance Sheet'!CB28-1</f>
        <v>-8.1384213047546172E-3</v>
      </c>
      <c r="CD68" s="217">
        <f>'Balance Sheet'!CD28/'Balance Sheet'!CC28-1</f>
        <v>9.0676048958755473E-3</v>
      </c>
      <c r="CE68" s="217">
        <f>'Balance Sheet'!CE28/'Balance Sheet'!CD28-1</f>
        <v>7.1844723008875899E-3</v>
      </c>
      <c r="CF68" s="217">
        <f>'Balance Sheet'!CF28/'Balance Sheet'!CE28-1</f>
        <v>4.6090746039773922E-2</v>
      </c>
      <c r="CG68" s="217">
        <f>'Balance Sheet'!CG28/'Balance Sheet'!CF28-1</f>
        <v>7.5487563162193183E-3</v>
      </c>
      <c r="CH68" s="217">
        <f>'Balance Sheet'!CH28/'Balance Sheet'!CG28-1</f>
        <v>2.6010593876836907E-2</v>
      </c>
      <c r="CI68" s="217">
        <f>'Balance Sheet'!CI28/'Balance Sheet'!CH28-1</f>
        <v>2.9344073162553386E-2</v>
      </c>
      <c r="CJ68" s="217">
        <f>'Balance Sheet'!CJ28/'Balance Sheet'!CI28-1</f>
        <v>7.0556043493595899E-2</v>
      </c>
      <c r="CK68" s="217">
        <f>'Balance Sheet'!CK28/'Balance Sheet'!CJ28-1</f>
        <v>7.5887159798137871E-2</v>
      </c>
      <c r="CL68" s="217">
        <f>'Balance Sheet'!CL28/'Balance Sheet'!CK28-1</f>
        <v>2.6209450180186611E-2</v>
      </c>
      <c r="CM68" s="217">
        <f>'Balance Sheet'!CM28/'Balance Sheet'!CL28-1</f>
        <v>7.2971267759918135E-3</v>
      </c>
      <c r="CN68" s="217">
        <f>'Balance Sheet'!CN28/'Balance Sheet'!CM28-1</f>
        <v>8.2255162048801678E-2</v>
      </c>
      <c r="CO68" s="217">
        <f>'Balance Sheet'!CO28/'Balance Sheet'!CN28-1</f>
        <v>4.7721467727026345E-2</v>
      </c>
      <c r="CP68" s="217">
        <f>'Balance Sheet'!CP28/'Balance Sheet'!CO28-1</f>
        <v>0.12214537055354402</v>
      </c>
      <c r="CQ68" s="217">
        <f>'Balance Sheet'!CQ28/'Balance Sheet'!CP28-1</f>
        <v>6.0426380764448062E-2</v>
      </c>
      <c r="CR68" s="217">
        <f>'Balance Sheet'!CR28/'Balance Sheet'!CQ28-1</f>
        <v>0.10234782412682319</v>
      </c>
      <c r="CS68" s="217">
        <f>'Balance Sheet'!CS28/'Balance Sheet'!CR28-1</f>
        <v>6.4803987781992589E-2</v>
      </c>
      <c r="CT68" s="217">
        <f>'Balance Sheet'!CT28/'Balance Sheet'!CS28-1</f>
        <v>2.8376573690789053E-2</v>
      </c>
      <c r="CU68" s="217">
        <f>'Balance Sheet'!CU28/'Balance Sheet'!CT28-1</f>
        <v>1.62918850671816E-2</v>
      </c>
      <c r="CV68" s="217">
        <f>'Balance Sheet'!CV28/'Balance Sheet'!CU28-1</f>
        <v>-6.2001526994562739E-2</v>
      </c>
      <c r="CW68" s="217">
        <f>'Balance Sheet'!CW28/'Balance Sheet'!CV28-1</f>
        <v>-7.6862664489631305E-2</v>
      </c>
      <c r="CX68" s="217">
        <f>'Balance Sheet'!CX28/'Balance Sheet'!CW28-1</f>
        <v>-1.3619921478671304E-2</v>
      </c>
      <c r="CY68" s="217">
        <f>'Balance Sheet'!CY28/'Balance Sheet'!CX28-1</f>
        <v>-1.2562684312776518E-2</v>
      </c>
      <c r="CZ68" s="217">
        <f>'Balance Sheet'!CZ28/'Balance Sheet'!CY28-1</f>
        <v>-4.3641304494342892E-3</v>
      </c>
      <c r="DA68" s="216">
        <v>0.01</v>
      </c>
      <c r="DB68" s="216">
        <v>0.01</v>
      </c>
      <c r="DC68" s="216">
        <v>0.01</v>
      </c>
      <c r="DD68" s="216">
        <v>0.01</v>
      </c>
      <c r="DE68" s="216">
        <v>0.01</v>
      </c>
      <c r="DF68" s="216">
        <v>0.01</v>
      </c>
      <c r="DG68" s="216">
        <v>0.01</v>
      </c>
      <c r="DH68" s="216">
        <v>0.01</v>
      </c>
      <c r="DI68" s="216">
        <v>0.01</v>
      </c>
      <c r="DJ68" s="216">
        <v>0.01</v>
      </c>
      <c r="DK68" s="216">
        <v>0.01</v>
      </c>
      <c r="DL68" s="216">
        <v>0.01</v>
      </c>
      <c r="DM68" s="216">
        <v>0.01</v>
      </c>
      <c r="DN68" s="216">
        <v>0.01</v>
      </c>
      <c r="DO68" s="216">
        <v>0.01</v>
      </c>
      <c r="DP68" s="216">
        <v>0.01</v>
      </c>
      <c r="DQ68" s="216">
        <v>0.01</v>
      </c>
      <c r="DR68" s="216">
        <v>0.01</v>
      </c>
      <c r="DS68" s="216">
        <v>0.01</v>
      </c>
      <c r="DT68" s="216">
        <v>0.01</v>
      </c>
      <c r="DU68" s="216">
        <v>0.01</v>
      </c>
      <c r="DV68" s="216">
        <v>0.01</v>
      </c>
      <c r="DW68" s="216">
        <v>0.01</v>
      </c>
      <c r="DX68" s="216">
        <v>0.01</v>
      </c>
    </row>
    <row r="69" spans="1:128">
      <c r="A69" s="41" t="s">
        <v>224</v>
      </c>
      <c r="B69" s="217"/>
      <c r="C69" s="217"/>
      <c r="D69" s="217"/>
      <c r="E69" s="217"/>
      <c r="F69" s="217"/>
      <c r="G69" s="217"/>
      <c r="H69" s="217"/>
      <c r="I69" s="217"/>
      <c r="J69" s="217" t="e">
        <f>'Balance Sheet'!J29/'Balance Sheet'!I29-1</f>
        <v>#DIV/0!</v>
      </c>
      <c r="K69" s="217" t="e">
        <f>'Balance Sheet'!K29/'Balance Sheet'!J29-1</f>
        <v>#DIV/0!</v>
      </c>
      <c r="L69" s="217" t="e">
        <f>'Balance Sheet'!L29/'Balance Sheet'!K29-1</f>
        <v>#DIV/0!</v>
      </c>
      <c r="M69" s="217" t="e">
        <f>'Balance Sheet'!M29/'Balance Sheet'!L29-1</f>
        <v>#DIV/0!</v>
      </c>
      <c r="N69" s="217" t="e">
        <f>'Balance Sheet'!N29/'Balance Sheet'!M29-1</f>
        <v>#DIV/0!</v>
      </c>
      <c r="O69" s="217">
        <f>'Balance Sheet'!O29/'Balance Sheet'!N29-1</f>
        <v>-4.4751669874981692E-3</v>
      </c>
      <c r="P69" s="217">
        <f>'Balance Sheet'!P29/'Balance Sheet'!O29-1</f>
        <v>0.13120553311587235</v>
      </c>
      <c r="Q69" s="219">
        <f>'Balance Sheet'!Q29/'Balance Sheet'!P29-1</f>
        <v>1.3264815019372418</v>
      </c>
      <c r="R69" s="219">
        <f>'Balance Sheet'!R29/'Balance Sheet'!Q29-1</f>
        <v>-0.29953979859737967</v>
      </c>
      <c r="S69" s="219">
        <f>'Balance Sheet'!S29/'Balance Sheet'!R29-1</f>
        <v>0.34675596829291488</v>
      </c>
      <c r="T69" s="217">
        <f>'Balance Sheet'!T29/'Balance Sheet'!S29-1</f>
        <v>-0.10385214877769011</v>
      </c>
      <c r="U69" s="216">
        <f>'Balance Sheet'!U29/'Balance Sheet'!T29-1</f>
        <v>3.2590089289722624E-2</v>
      </c>
      <c r="V69" s="216">
        <f>'Balance Sheet'!V29/'Balance Sheet'!U29-1</f>
        <v>2.9749666269401009E-2</v>
      </c>
      <c r="W69" s="216">
        <f>'Balance Sheet'!W29/'Balance Sheet'!V29-1</f>
        <v>2.9999999999999805E-2</v>
      </c>
      <c r="X69" s="216">
        <f>'Balance Sheet'!X29/'Balance Sheet'!W29-1</f>
        <v>2.9999999999999583E-2</v>
      </c>
      <c r="Y69" s="216">
        <f>'Balance Sheet'!Y29/'Balance Sheet'!X29-1</f>
        <v>3.0000000000000027E-2</v>
      </c>
      <c r="Z69" s="216">
        <f>'Balance Sheet'!Z29/'Balance Sheet'!Y29-1</f>
        <v>2.9999999999999583E-2</v>
      </c>
      <c r="AA69" s="213"/>
      <c r="AB69" s="41" t="str">
        <f>A69</f>
        <v>Other assets, % growth</v>
      </c>
      <c r="AC69" s="218">
        <v>0</v>
      </c>
      <c r="AD69" s="217" t="e">
        <f>'Balance Sheet'!AD29/'Balance Sheet'!AC29-1</f>
        <v>#DIV/0!</v>
      </c>
      <c r="AE69" s="217" t="e">
        <f>'Balance Sheet'!AE29/'Balance Sheet'!AD29-1</f>
        <v>#DIV/0!</v>
      </c>
      <c r="AF69" s="217" t="e">
        <f>'Balance Sheet'!AF29/'Balance Sheet'!AE29-1</f>
        <v>#DIV/0!</v>
      </c>
      <c r="AG69" s="217" t="e">
        <f>'Balance Sheet'!AG29/'Balance Sheet'!AF29-1</f>
        <v>#DIV/0!</v>
      </c>
      <c r="AH69" s="217" t="e">
        <f>'Balance Sheet'!AH29/'Balance Sheet'!AG29-1</f>
        <v>#DIV/0!</v>
      </c>
      <c r="AI69" s="217" t="e">
        <f>'Balance Sheet'!AI29/'Balance Sheet'!AH29-1</f>
        <v>#DIV/0!</v>
      </c>
      <c r="AJ69" s="217" t="e">
        <f>'Balance Sheet'!AJ29/'Balance Sheet'!AI29-1</f>
        <v>#DIV/0!</v>
      </c>
      <c r="AK69" s="217" t="e">
        <f>'Balance Sheet'!AK29/'Balance Sheet'!AJ29-1</f>
        <v>#DIV/0!</v>
      </c>
      <c r="AL69" s="217" t="e">
        <f>'Balance Sheet'!AL29/'Balance Sheet'!AK29-1</f>
        <v>#DIV/0!</v>
      </c>
      <c r="AM69" s="217" t="e">
        <f>'Balance Sheet'!AM29/'Balance Sheet'!AL29-1</f>
        <v>#DIV/0!</v>
      </c>
      <c r="AN69" s="217" t="e">
        <f>'Balance Sheet'!AN29/'Balance Sheet'!AM29-1</f>
        <v>#DIV/0!</v>
      </c>
      <c r="AO69" s="217" t="e">
        <f>'Balance Sheet'!AO29/'Balance Sheet'!AN29-1</f>
        <v>#DIV/0!</v>
      </c>
      <c r="AP69" s="217" t="e">
        <f>'Balance Sheet'!AP29/'Balance Sheet'!AO29-1</f>
        <v>#DIV/0!</v>
      </c>
      <c r="AQ69" s="217" t="e">
        <f>'Balance Sheet'!AQ29/'Balance Sheet'!AP29-1</f>
        <v>#DIV/0!</v>
      </c>
      <c r="AR69" s="217" t="e">
        <f>'Balance Sheet'!AR29/'Balance Sheet'!AQ29-1</f>
        <v>#DIV/0!</v>
      </c>
      <c r="AS69" s="217" t="e">
        <f>'Balance Sheet'!AS29/'Balance Sheet'!AR29-1</f>
        <v>#DIV/0!</v>
      </c>
      <c r="AT69" s="217" t="e">
        <f>'Balance Sheet'!AT29/'Balance Sheet'!AS29-1</f>
        <v>#DIV/0!</v>
      </c>
      <c r="AU69" s="217" t="e">
        <f>'Balance Sheet'!AU29/'Balance Sheet'!AT29-1</f>
        <v>#DIV/0!</v>
      </c>
      <c r="AV69" s="217" t="e">
        <f>'Balance Sheet'!AV29/'Balance Sheet'!AU29-1</f>
        <v>#DIV/0!</v>
      </c>
      <c r="AW69" s="217" t="e">
        <f>'Balance Sheet'!AW29/'Balance Sheet'!AV29-1</f>
        <v>#DIV/0!</v>
      </c>
      <c r="AX69" s="217" t="e">
        <f>'Balance Sheet'!AX29/'Balance Sheet'!AW29-1</f>
        <v>#DIV/0!</v>
      </c>
      <c r="AY69" s="217" t="e">
        <f>'Balance Sheet'!AY29/'Balance Sheet'!AX29-1</f>
        <v>#DIV/0!</v>
      </c>
      <c r="AZ69" s="217" t="e">
        <f>'Balance Sheet'!AZ29/'Balance Sheet'!AY29-1</f>
        <v>#DIV/0!</v>
      </c>
      <c r="BA69" s="217" t="e">
        <f>'Balance Sheet'!BA29/'Balance Sheet'!AZ29-1</f>
        <v>#DIV/0!</v>
      </c>
      <c r="BB69" s="217" t="e">
        <f>'Balance Sheet'!BB29/'Balance Sheet'!BA29-1</f>
        <v>#DIV/0!</v>
      </c>
      <c r="BC69" s="217" t="e">
        <f>'Balance Sheet'!BC29/'Balance Sheet'!BB29-1</f>
        <v>#DIV/0!</v>
      </c>
      <c r="BD69" s="217" t="e">
        <f>'Balance Sheet'!BD29/'Balance Sheet'!BC29-1</f>
        <v>#DIV/0!</v>
      </c>
      <c r="BE69" s="217" t="e">
        <f>'Balance Sheet'!BE29/'Balance Sheet'!BD29-1</f>
        <v>#DIV/0!</v>
      </c>
      <c r="BF69" s="217" t="e">
        <f>'Balance Sheet'!BF29/'Balance Sheet'!BE29-1</f>
        <v>#DIV/0!</v>
      </c>
      <c r="BG69" s="217" t="e">
        <f>'Balance Sheet'!BG29/'Balance Sheet'!BF29-1</f>
        <v>#DIV/0!</v>
      </c>
      <c r="BH69" s="217" t="e">
        <f>'Balance Sheet'!BH29/'Balance Sheet'!BG29-1</f>
        <v>#DIV/0!</v>
      </c>
      <c r="BI69" s="217" t="e">
        <f>'Balance Sheet'!BI29/'Balance Sheet'!BH29-1</f>
        <v>#DIV/0!</v>
      </c>
      <c r="BJ69" s="217" t="e">
        <f>'Balance Sheet'!BJ29/'Balance Sheet'!BI29-1</f>
        <v>#DIV/0!</v>
      </c>
      <c r="BK69" s="217" t="e">
        <f>'Balance Sheet'!BK29/'Balance Sheet'!BJ29-1</f>
        <v>#DIV/0!</v>
      </c>
      <c r="BL69" s="217" t="e">
        <f>'Balance Sheet'!BL29/'Balance Sheet'!BK29-1</f>
        <v>#DIV/0!</v>
      </c>
      <c r="BM69" s="217" t="e">
        <f>'Balance Sheet'!BM29/'Balance Sheet'!BL29-1</f>
        <v>#DIV/0!</v>
      </c>
      <c r="BN69" s="217" t="e">
        <f>'Balance Sheet'!BN29/'Balance Sheet'!BM29-1</f>
        <v>#DIV/0!</v>
      </c>
      <c r="BO69" s="217" t="e">
        <f>'Balance Sheet'!BO29/'Balance Sheet'!BN29-1</f>
        <v>#DIV/0!</v>
      </c>
      <c r="BP69" s="217" t="e">
        <f>'Balance Sheet'!BP29/'Balance Sheet'!BO29-1</f>
        <v>#DIV/0!</v>
      </c>
      <c r="BQ69" s="217" t="e">
        <f>'Balance Sheet'!BQ29/'Balance Sheet'!BP29-1</f>
        <v>#DIV/0!</v>
      </c>
      <c r="BR69" s="217" t="e">
        <f>'Balance Sheet'!BR29/'Balance Sheet'!BQ29-1</f>
        <v>#DIV/0!</v>
      </c>
      <c r="BS69" s="217" t="e">
        <f>'Balance Sheet'!BS29/'Balance Sheet'!BR29-1</f>
        <v>#DIV/0!</v>
      </c>
      <c r="BT69" s="217" t="e">
        <f>'Balance Sheet'!BT29/'Balance Sheet'!BS29-1</f>
        <v>#DIV/0!</v>
      </c>
      <c r="BU69" s="217" t="e">
        <f>'Balance Sheet'!BU29/'Balance Sheet'!BT29-1</f>
        <v>#DIV/0!</v>
      </c>
      <c r="BV69" s="217" t="e">
        <f>'Balance Sheet'!BV29/'Balance Sheet'!BU29-1</f>
        <v>#DIV/0!</v>
      </c>
      <c r="BW69" s="217" t="e">
        <f>'Balance Sheet'!BW29/'Balance Sheet'!BV29-1</f>
        <v>#DIV/0!</v>
      </c>
      <c r="BX69" s="217" t="e">
        <f>'Balance Sheet'!BX29/'Balance Sheet'!BW29-1</f>
        <v>#DIV/0!</v>
      </c>
      <c r="BY69" s="217" t="e">
        <f>'Balance Sheet'!BY29/'Balance Sheet'!BX29-1</f>
        <v>#DIV/0!</v>
      </c>
      <c r="BZ69" s="217">
        <f>'Balance Sheet'!BZ29/'Balance Sheet'!BY29-1</f>
        <v>0.12826529472551296</v>
      </c>
      <c r="CA69" s="217">
        <f>'Balance Sheet'!CA29/'Balance Sheet'!BZ29-1</f>
        <v>-1.8307217592439362E-2</v>
      </c>
      <c r="CB69" s="217">
        <f>'Balance Sheet'!CB29/'Balance Sheet'!CA29-1</f>
        <v>-0.11157416962978717</v>
      </c>
      <c r="CC69" s="217">
        <f>'Balance Sheet'!CC29/'Balance Sheet'!CB29-1</f>
        <v>0.26360048301751049</v>
      </c>
      <c r="CD69" s="217">
        <f>'Balance Sheet'!CD29/'Balance Sheet'!CC29-1</f>
        <v>-6.4421495484040414E-2</v>
      </c>
      <c r="CE69" s="217">
        <f>'Balance Sheet'!CE29/'Balance Sheet'!CD29-1</f>
        <v>-0.10173829951393798</v>
      </c>
      <c r="CF69" s="217">
        <f>'Balance Sheet'!CF29/'Balance Sheet'!CE29-1</f>
        <v>-6.2526075980152473E-2</v>
      </c>
      <c r="CG69" s="217">
        <f>'Balance Sheet'!CG29/'Balance Sheet'!CF29-1</f>
        <v>0.17376096493327098</v>
      </c>
      <c r="CH69" s="217">
        <f>'Balance Sheet'!CH29/'Balance Sheet'!CG29-1</f>
        <v>-3.8742973310266771E-2</v>
      </c>
      <c r="CI69" s="217">
        <f>'Balance Sheet'!CI29/'Balance Sheet'!CH29-1</f>
        <v>1.9777083491762548E-2</v>
      </c>
      <c r="CJ69" s="217">
        <f>'Balance Sheet'!CJ29/'Balance Sheet'!CI29-1</f>
        <v>-1.6856114167602909E-2</v>
      </c>
      <c r="CK69" s="217">
        <f>'Balance Sheet'!CK29/'Balance Sheet'!CJ29-1</f>
        <v>0.11368570648327814</v>
      </c>
      <c r="CL69" s="217">
        <f>'Balance Sheet'!CL29/'Balance Sheet'!CK29-1</f>
        <v>0.15781459287893496</v>
      </c>
      <c r="CM69" s="217">
        <f>'Balance Sheet'!CM29/'Balance Sheet'!CL29-1</f>
        <v>0.57503562181237555</v>
      </c>
      <c r="CN69" s="217">
        <f>'Balance Sheet'!CN29/'Balance Sheet'!CM29-1</f>
        <v>0.14553287822202887</v>
      </c>
      <c r="CO69" s="217">
        <f>'Balance Sheet'!CO29/'Balance Sheet'!CN29-1</f>
        <v>-8.8807968166848772E-2</v>
      </c>
      <c r="CP69" s="217">
        <f>'Balance Sheet'!CP29/'Balance Sheet'!CO29-1</f>
        <v>-7.2989901682832814E-2</v>
      </c>
      <c r="CQ69" s="217">
        <f>'Balance Sheet'!CQ29/'Balance Sheet'!CP29-1</f>
        <v>-4.7896654662415217E-2</v>
      </c>
      <c r="CR69" s="217">
        <f>'Balance Sheet'!CR29/'Balance Sheet'!CQ29-1</f>
        <v>-0.12902639236187186</v>
      </c>
      <c r="CS69" s="217">
        <f>'Balance Sheet'!CS29/'Balance Sheet'!CR29-1</f>
        <v>0.25095684648804628</v>
      </c>
      <c r="CT69" s="217">
        <f>'Balance Sheet'!CT29/'Balance Sheet'!CS29-1</f>
        <v>4.421080530454069E-2</v>
      </c>
      <c r="CU69" s="217">
        <f>'Balance Sheet'!CU29/'Balance Sheet'!CT29-1</f>
        <v>6.1070034913552229E-2</v>
      </c>
      <c r="CV69" s="217">
        <f>'Balance Sheet'!CV29/'Balance Sheet'!CU29-1</f>
        <v>-2.8339948745003896E-2</v>
      </c>
      <c r="CW69" s="217">
        <f>'Balance Sheet'!CW29/'Balance Sheet'!CV29-1</f>
        <v>1.378941029914138E-2</v>
      </c>
      <c r="CX69" s="217">
        <f>'Balance Sheet'!CX29/'Balance Sheet'!CW29-1</f>
        <v>-5.7411068077025895E-2</v>
      </c>
      <c r="CY69" s="217">
        <f>'Balance Sheet'!CY29/'Balance Sheet'!CX29-1</f>
        <v>3.4799874043032641E-2</v>
      </c>
      <c r="CZ69" s="217">
        <f>'Balance Sheet'!CZ29/'Balance Sheet'!CY29-1</f>
        <v>-9.3739160013114109E-2</v>
      </c>
      <c r="DA69" s="216">
        <f t="shared" ref="DA69:DX69" si="46">(1+DA$17)*(1+DA$14)-1</f>
        <v>8.2383837964494777E-3</v>
      </c>
      <c r="DB69" s="216">
        <f t="shared" si="46"/>
        <v>8.3937254420483054E-3</v>
      </c>
      <c r="DC69" s="216">
        <f t="shared" si="46"/>
        <v>7.9057534988196121E-3</v>
      </c>
      <c r="DD69" s="216">
        <f t="shared" si="46"/>
        <v>7.6615015110583773E-3</v>
      </c>
      <c r="DE69" s="216">
        <f t="shared" si="46"/>
        <v>7.6615015110583773E-3</v>
      </c>
      <c r="DF69" s="216">
        <f t="shared" si="46"/>
        <v>7.1724639967380988E-3</v>
      </c>
      <c r="DG69" s="216">
        <f t="shared" si="46"/>
        <v>7.1724639967380988E-3</v>
      </c>
      <c r="DH69" s="216">
        <f t="shared" si="46"/>
        <v>7.4170717777328754E-3</v>
      </c>
      <c r="DI69" s="216">
        <f t="shared" si="46"/>
        <v>7.4170717777328754E-3</v>
      </c>
      <c r="DJ69" s="216">
        <f t="shared" si="46"/>
        <v>7.4170717777328754E-3</v>
      </c>
      <c r="DK69" s="216">
        <f t="shared" si="46"/>
        <v>7.4170717777328754E-3</v>
      </c>
      <c r="DL69" s="216">
        <f t="shared" si="46"/>
        <v>7.4170717777328754E-3</v>
      </c>
      <c r="DM69" s="216">
        <f t="shared" si="46"/>
        <v>7.4170717777328754E-3</v>
      </c>
      <c r="DN69" s="216">
        <f t="shared" si="46"/>
        <v>7.4170717777328754E-3</v>
      </c>
      <c r="DO69" s="216">
        <f t="shared" si="46"/>
        <v>7.4170717777328754E-3</v>
      </c>
      <c r="DP69" s="216">
        <f t="shared" si="46"/>
        <v>7.4170717777328754E-3</v>
      </c>
      <c r="DQ69" s="216">
        <f t="shared" si="46"/>
        <v>7.4170717777328754E-3</v>
      </c>
      <c r="DR69" s="216">
        <f t="shared" si="46"/>
        <v>7.4170717777328754E-3</v>
      </c>
      <c r="DS69" s="216">
        <f t="shared" si="46"/>
        <v>7.4170717777328754E-3</v>
      </c>
      <c r="DT69" s="216">
        <f t="shared" si="46"/>
        <v>7.4170717777328754E-3</v>
      </c>
      <c r="DU69" s="216">
        <f t="shared" si="46"/>
        <v>7.4170717777328754E-3</v>
      </c>
      <c r="DV69" s="216">
        <f t="shared" si="46"/>
        <v>7.4170717777328754E-3</v>
      </c>
      <c r="DW69" s="216">
        <f t="shared" si="46"/>
        <v>7.4170717777328754E-3</v>
      </c>
      <c r="DX69" s="216">
        <f t="shared" si="46"/>
        <v>7.4170717777328754E-3</v>
      </c>
    </row>
    <row r="70" spans="1:128">
      <c r="A70" s="225"/>
      <c r="B70" s="217"/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152"/>
      <c r="R70" s="152"/>
      <c r="S70" s="152"/>
      <c r="T70" s="234"/>
      <c r="U70" s="151"/>
      <c r="V70" s="151"/>
      <c r="W70" s="151"/>
      <c r="X70" s="151"/>
      <c r="Y70" s="151"/>
      <c r="Z70" s="151"/>
      <c r="AA70" s="213"/>
      <c r="AB70" s="225"/>
      <c r="AC70" s="220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7"/>
      <c r="CQ70" s="217"/>
      <c r="CR70" s="217"/>
      <c r="CS70" s="217"/>
      <c r="CT70" s="217"/>
      <c r="CU70" s="217"/>
      <c r="CV70" s="217"/>
      <c r="CW70" s="217"/>
      <c r="CX70" s="217"/>
      <c r="CY70" s="217"/>
      <c r="CZ70" s="217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</row>
    <row r="71" spans="1:128">
      <c r="A71" s="61" t="s">
        <v>223</v>
      </c>
      <c r="B71" s="217"/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22"/>
      <c r="R71" s="222"/>
      <c r="S71" s="222"/>
      <c r="T71" s="613"/>
      <c r="U71" s="221"/>
      <c r="V71" s="221"/>
      <c r="W71" s="221"/>
      <c r="X71" s="221"/>
      <c r="Y71" s="221"/>
      <c r="Z71" s="221"/>
      <c r="AA71" s="213"/>
      <c r="AB71" s="61" t="str">
        <f t="shared" ref="AB71:AB77" si="47">A71</f>
        <v>Liabiilities</v>
      </c>
      <c r="AC71" s="220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7"/>
      <c r="CQ71" s="217"/>
      <c r="CR71" s="217"/>
      <c r="CS71" s="217"/>
      <c r="CT71" s="217"/>
      <c r="CU71" s="217"/>
      <c r="CV71" s="217"/>
      <c r="CW71" s="217"/>
      <c r="CX71" s="217"/>
      <c r="CY71" s="217"/>
      <c r="CZ71" s="217"/>
      <c r="DA71" s="151"/>
      <c r="DB71" s="151"/>
      <c r="DC71" s="151"/>
      <c r="DD71" s="151"/>
      <c r="DE71" s="151"/>
      <c r="DF71" s="151"/>
      <c r="DG71" s="151"/>
      <c r="DH71" s="151"/>
      <c r="DI71" s="151"/>
      <c r="DJ71" s="151"/>
      <c r="DK71" s="151"/>
      <c r="DL71" s="151"/>
      <c r="DM71" s="151"/>
      <c r="DN71" s="151"/>
      <c r="DO71" s="151"/>
      <c r="DP71" s="151"/>
      <c r="DQ71" s="151"/>
      <c r="DR71" s="151"/>
      <c r="DS71" s="151"/>
      <c r="DT71" s="151"/>
      <c r="DU71" s="151"/>
      <c r="DV71" s="151"/>
      <c r="DW71" s="151"/>
      <c r="DX71" s="151"/>
    </row>
    <row r="72" spans="1:128">
      <c r="A72" s="41" t="s">
        <v>222</v>
      </c>
      <c r="B72" s="217"/>
      <c r="C72" s="217"/>
      <c r="D72" s="217"/>
      <c r="E72" s="217"/>
      <c r="F72" s="217"/>
      <c r="G72" s="217"/>
      <c r="H72" s="217"/>
      <c r="I72" s="217"/>
      <c r="J72" s="217" t="e">
        <f>'Balance Sheet'!J37/'Balance Sheet'!I37-1</f>
        <v>#DIV/0!</v>
      </c>
      <c r="K72" s="217" t="e">
        <f>'Balance Sheet'!K37/'Balance Sheet'!J37-1</f>
        <v>#DIV/0!</v>
      </c>
      <c r="L72" s="217" t="e">
        <f>'Balance Sheet'!L37/'Balance Sheet'!K37-1</f>
        <v>#DIV/0!</v>
      </c>
      <c r="M72" s="217" t="e">
        <f>'Balance Sheet'!M37/'Balance Sheet'!L37-1</f>
        <v>#DIV/0!</v>
      </c>
      <c r="N72" s="217" t="e">
        <f>'Balance Sheet'!N37/'Balance Sheet'!M37-1</f>
        <v>#DIV/0!</v>
      </c>
      <c r="O72" s="217">
        <f>'Balance Sheet'!O37/'Balance Sheet'!N37-1</f>
        <v>0.24705177447826743</v>
      </c>
      <c r="P72" s="217">
        <f>'Balance Sheet'!P37/'Balance Sheet'!O37-1</f>
        <v>7.6629902378362313E-3</v>
      </c>
      <c r="Q72" s="219">
        <f>'Balance Sheet'!Q37/'Balance Sheet'!P37-1</f>
        <v>0.19805379194325146</v>
      </c>
      <c r="R72" s="219">
        <f>'Balance Sheet'!R37/'Balance Sheet'!Q37-1</f>
        <v>0.11579648281066834</v>
      </c>
      <c r="S72" s="219">
        <f>'Balance Sheet'!S37/'Balance Sheet'!R37-1</f>
        <v>0.12756263722866934</v>
      </c>
      <c r="T72" s="217">
        <f>'Balance Sheet'!T37/'Balance Sheet'!S37-1</f>
        <v>0.17408919129004019</v>
      </c>
      <c r="U72" s="216">
        <f ca="1">'Balance Sheet'!U37/'Balance Sheet'!T37-1</f>
        <v>0.15006075204823133</v>
      </c>
      <c r="V72" s="216">
        <f ca="1">'Balance Sheet'!V37/'Balance Sheet'!U37-1</f>
        <v>0.10571990064648729</v>
      </c>
      <c r="W72" s="216">
        <f ca="1">'Balance Sheet'!W37/'Balance Sheet'!V37-1</f>
        <v>9.6601797477566365E-2</v>
      </c>
      <c r="X72" s="216">
        <f ca="1">'Balance Sheet'!X37/'Balance Sheet'!W37-1</f>
        <v>9.9260337262066178E-2</v>
      </c>
      <c r="Y72" s="216">
        <f ca="1">'Balance Sheet'!Y37/'Balance Sheet'!X37-1</f>
        <v>0.10691104718811695</v>
      </c>
      <c r="Z72" s="216">
        <f ca="1">'Balance Sheet'!Z37/'Balance Sheet'!Y37-1</f>
        <v>0.11367947405270584</v>
      </c>
      <c r="AA72" s="213"/>
      <c r="AB72" s="41" t="str">
        <f t="shared" si="47"/>
        <v>Total deposits, % growth</v>
      </c>
      <c r="AC72" s="218">
        <v>0</v>
      </c>
      <c r="AD72" s="217" t="e">
        <f>'Balance Sheet'!AD37/'Balance Sheet'!AC37-1</f>
        <v>#DIV/0!</v>
      </c>
      <c r="AE72" s="217" t="e">
        <f>'Balance Sheet'!AE37/'Balance Sheet'!AD37-1</f>
        <v>#DIV/0!</v>
      </c>
      <c r="AF72" s="217" t="e">
        <f>'Balance Sheet'!AF37/'Balance Sheet'!AE37-1</f>
        <v>#DIV/0!</v>
      </c>
      <c r="AG72" s="217" t="e">
        <f>'Balance Sheet'!AG37/'Balance Sheet'!AF37-1</f>
        <v>#DIV/0!</v>
      </c>
      <c r="AH72" s="217" t="e">
        <f>'Balance Sheet'!AH37/'Balance Sheet'!AG37-1</f>
        <v>#DIV/0!</v>
      </c>
      <c r="AI72" s="217" t="e">
        <f>'Balance Sheet'!AI37/'Balance Sheet'!AH37-1</f>
        <v>#DIV/0!</v>
      </c>
      <c r="AJ72" s="217" t="e">
        <f>'Balance Sheet'!AJ37/'Balance Sheet'!AI37-1</f>
        <v>#DIV/0!</v>
      </c>
      <c r="AK72" s="217" t="e">
        <f>'Balance Sheet'!AK37/'Balance Sheet'!AJ37-1</f>
        <v>#DIV/0!</v>
      </c>
      <c r="AL72" s="217" t="e">
        <f>'Balance Sheet'!AL37/'Balance Sheet'!AK37-1</f>
        <v>#DIV/0!</v>
      </c>
      <c r="AM72" s="217" t="e">
        <f>'Balance Sheet'!AM37/'Balance Sheet'!AL37-1</f>
        <v>#DIV/0!</v>
      </c>
      <c r="AN72" s="217" t="e">
        <f>'Balance Sheet'!AN37/'Balance Sheet'!AM37-1</f>
        <v>#DIV/0!</v>
      </c>
      <c r="AO72" s="217" t="e">
        <f>'Balance Sheet'!AO37/'Balance Sheet'!AN37-1</f>
        <v>#DIV/0!</v>
      </c>
      <c r="AP72" s="217" t="e">
        <f>'Balance Sheet'!AP37/'Balance Sheet'!AO37-1</f>
        <v>#DIV/0!</v>
      </c>
      <c r="AQ72" s="217" t="e">
        <f>'Balance Sheet'!AQ37/'Balance Sheet'!AP37-1</f>
        <v>#DIV/0!</v>
      </c>
      <c r="AR72" s="217" t="e">
        <f>'Balance Sheet'!AR37/'Balance Sheet'!AQ37-1</f>
        <v>#DIV/0!</v>
      </c>
      <c r="AS72" s="217" t="e">
        <f>'Balance Sheet'!AS37/'Balance Sheet'!AR37-1</f>
        <v>#DIV/0!</v>
      </c>
      <c r="AT72" s="217" t="e">
        <f>'Balance Sheet'!AT37/'Balance Sheet'!AS37-1</f>
        <v>#DIV/0!</v>
      </c>
      <c r="AU72" s="217" t="e">
        <f>'Balance Sheet'!AU37/'Balance Sheet'!AT37-1</f>
        <v>#DIV/0!</v>
      </c>
      <c r="AV72" s="217" t="e">
        <f>'Balance Sheet'!AV37/'Balance Sheet'!AU37-1</f>
        <v>#DIV/0!</v>
      </c>
      <c r="AW72" s="217" t="e">
        <f>'Balance Sheet'!AW37/'Balance Sheet'!AV37-1</f>
        <v>#DIV/0!</v>
      </c>
      <c r="AX72" s="217" t="e">
        <f>'Balance Sheet'!AX37/'Balance Sheet'!AW37-1</f>
        <v>#DIV/0!</v>
      </c>
      <c r="AY72" s="217" t="e">
        <f>'Balance Sheet'!AY37/'Balance Sheet'!AX37-1</f>
        <v>#DIV/0!</v>
      </c>
      <c r="AZ72" s="217" t="e">
        <f>'Balance Sheet'!AZ37/'Balance Sheet'!AY37-1</f>
        <v>#DIV/0!</v>
      </c>
      <c r="BA72" s="217" t="e">
        <f>'Balance Sheet'!BA37/'Balance Sheet'!AZ37-1</f>
        <v>#DIV/0!</v>
      </c>
      <c r="BB72" s="217" t="e">
        <f>'Balance Sheet'!BB37/'Balance Sheet'!BA37-1</f>
        <v>#DIV/0!</v>
      </c>
      <c r="BC72" s="217" t="e">
        <f>'Balance Sheet'!BC37/'Balance Sheet'!BB37-1</f>
        <v>#DIV/0!</v>
      </c>
      <c r="BD72" s="217" t="e">
        <f>'Balance Sheet'!BD37/'Balance Sheet'!BC37-1</f>
        <v>#DIV/0!</v>
      </c>
      <c r="BE72" s="217" t="e">
        <f>'Balance Sheet'!BE37/'Balance Sheet'!BD37-1</f>
        <v>#DIV/0!</v>
      </c>
      <c r="BF72" s="217" t="e">
        <f>'Balance Sheet'!BF37/'Balance Sheet'!BE37-1</f>
        <v>#DIV/0!</v>
      </c>
      <c r="BG72" s="217" t="e">
        <f>'Balance Sheet'!BG37/'Balance Sheet'!BF37-1</f>
        <v>#DIV/0!</v>
      </c>
      <c r="BH72" s="217" t="e">
        <f>'Balance Sheet'!BH37/'Balance Sheet'!BG37-1</f>
        <v>#DIV/0!</v>
      </c>
      <c r="BI72" s="217" t="e">
        <f>'Balance Sheet'!BI37/'Balance Sheet'!BH37-1</f>
        <v>#DIV/0!</v>
      </c>
      <c r="BJ72" s="217" t="e">
        <f>'Balance Sheet'!BJ37/'Balance Sheet'!BI37-1</f>
        <v>#DIV/0!</v>
      </c>
      <c r="BK72" s="217" t="e">
        <f>'Balance Sheet'!BK37/'Balance Sheet'!BJ37-1</f>
        <v>#DIV/0!</v>
      </c>
      <c r="BL72" s="217" t="e">
        <f>'Balance Sheet'!BL37/'Balance Sheet'!BK37-1</f>
        <v>#DIV/0!</v>
      </c>
      <c r="BM72" s="217" t="e">
        <f>'Balance Sheet'!BM37/'Balance Sheet'!BL37-1</f>
        <v>#DIV/0!</v>
      </c>
      <c r="BN72" s="217" t="e">
        <f>'Balance Sheet'!BN37/'Balance Sheet'!BM37-1</f>
        <v>#DIV/0!</v>
      </c>
      <c r="BO72" s="217" t="e">
        <f>'Balance Sheet'!BO37/'Balance Sheet'!BN37-1</f>
        <v>#DIV/0!</v>
      </c>
      <c r="BP72" s="217" t="e">
        <f>'Balance Sheet'!BP37/'Balance Sheet'!BO37-1</f>
        <v>#DIV/0!</v>
      </c>
      <c r="BQ72" s="217" t="e">
        <f>'Balance Sheet'!BQ37/'Balance Sheet'!BP37-1</f>
        <v>#DIV/0!</v>
      </c>
      <c r="BR72" s="217" t="e">
        <f>'Balance Sheet'!BR37/'Balance Sheet'!BQ37-1</f>
        <v>#DIV/0!</v>
      </c>
      <c r="BS72" s="217" t="e">
        <f>'Balance Sheet'!BS37/'Balance Sheet'!BR37-1</f>
        <v>#DIV/0!</v>
      </c>
      <c r="BT72" s="217" t="e">
        <f>'Balance Sheet'!BT37/'Balance Sheet'!BS37-1</f>
        <v>#DIV/0!</v>
      </c>
      <c r="BU72" s="217" t="e">
        <f>'Balance Sheet'!BU37/'Balance Sheet'!BT37-1</f>
        <v>#DIV/0!</v>
      </c>
      <c r="BV72" s="217" t="e">
        <f>'Balance Sheet'!BV37/'Balance Sheet'!BU37-1</f>
        <v>#DIV/0!</v>
      </c>
      <c r="BW72" s="217" t="e">
        <f>'Balance Sheet'!BW37/'Balance Sheet'!BV37-1</f>
        <v>#DIV/0!</v>
      </c>
      <c r="BX72" s="217" t="e">
        <f>'Balance Sheet'!BX37/'Balance Sheet'!BW37-1</f>
        <v>#DIV/0!</v>
      </c>
      <c r="BY72" s="217" t="e">
        <f>'Balance Sheet'!BY37/'Balance Sheet'!BX37-1</f>
        <v>#DIV/0!</v>
      </c>
      <c r="BZ72" s="217">
        <f>'Balance Sheet'!BZ37/'Balance Sheet'!BY37-1</f>
        <v>-2.0602345242213382E-2</v>
      </c>
      <c r="CA72" s="217">
        <f>'Balance Sheet'!CA37/'Balance Sheet'!BZ37-1</f>
        <v>-4.4359445849311063E-2</v>
      </c>
      <c r="CB72" s="217">
        <f>'Balance Sheet'!CB37/'Balance Sheet'!CA37-1</f>
        <v>3.3134385381854647E-2</v>
      </c>
      <c r="CC72" s="217">
        <f>'Balance Sheet'!CC37/'Balance Sheet'!CB37-1</f>
        <v>3.2607097013967135E-2</v>
      </c>
      <c r="CD72" s="217">
        <f>'Balance Sheet'!CD37/'Balance Sheet'!CC37-1</f>
        <v>2.4977108944887583E-2</v>
      </c>
      <c r="CE72" s="217">
        <f>'Balance Sheet'!CE37/'Balance Sheet'!CD37-1</f>
        <v>7.6368806443603665E-2</v>
      </c>
      <c r="CF72" s="217">
        <f>'Balance Sheet'!CF37/'Balance Sheet'!CE37-1</f>
        <v>9.4647046270640134E-2</v>
      </c>
      <c r="CG72" s="217">
        <f>'Balance Sheet'!CG37/'Balance Sheet'!CF37-1</f>
        <v>-2.1384397489040419E-3</v>
      </c>
      <c r="CH72" s="217">
        <f>'Balance Sheet'!CH37/'Balance Sheet'!CG37-1</f>
        <v>5.4167828809659202E-3</v>
      </c>
      <c r="CI72" s="217">
        <f>'Balance Sheet'!CI37/'Balance Sheet'!CH37-1</f>
        <v>-1.7032478713466137E-2</v>
      </c>
      <c r="CJ72" s="217">
        <f>'Balance Sheet'!CJ37/'Balance Sheet'!CI37-1</f>
        <v>2.1785454914007518E-2</v>
      </c>
      <c r="CK72" s="217">
        <f>'Balance Sheet'!CK37/'Balance Sheet'!CJ37-1</f>
        <v>0.10354715675150539</v>
      </c>
      <c r="CL72" s="217">
        <f>'Balance Sheet'!CL37/'Balance Sheet'!CK37-1</f>
        <v>2.6891367367599228E-2</v>
      </c>
      <c r="CM72" s="217">
        <f>'Balance Sheet'!CM37/'Balance Sheet'!CL37-1</f>
        <v>-1.2609041713191216E-2</v>
      </c>
      <c r="CN72" s="217">
        <f>'Balance Sheet'!CN37/'Balance Sheet'!CM37-1</f>
        <v>7.0709788337529167E-2</v>
      </c>
      <c r="CO72" s="217">
        <f>'Balance Sheet'!CO37/'Balance Sheet'!CN37-1</f>
        <v>6.818142928414983E-2</v>
      </c>
      <c r="CP72" s="217">
        <f>'Balance Sheet'!CP37/'Balance Sheet'!CO37-1</f>
        <v>7.3463174513244134E-4</v>
      </c>
      <c r="CQ72" s="217">
        <f>'Balance Sheet'!CQ37/'Balance Sheet'!CP37-1</f>
        <v>1.9627261541903751E-2</v>
      </c>
      <c r="CR72" s="217">
        <f>'Balance Sheet'!CR37/'Balance Sheet'!CQ37-1</f>
        <v>2.3716249227249353E-2</v>
      </c>
      <c r="CS72" s="217">
        <f>'Balance Sheet'!CS37/'Balance Sheet'!CR37-1</f>
        <v>8.9174299887842201E-2</v>
      </c>
      <c r="CT72" s="217">
        <f>'Balance Sheet'!CT37/'Balance Sheet'!CS37-1</f>
        <v>1.4456942487886648E-2</v>
      </c>
      <c r="CU72" s="217">
        <f>'Balance Sheet'!CU37/'Balance Sheet'!CT37-1</f>
        <v>-9.885392428038986E-3</v>
      </c>
      <c r="CV72" s="217">
        <f>'Balance Sheet'!CV37/'Balance Sheet'!CU37-1</f>
        <v>3.0680845428049386E-2</v>
      </c>
      <c r="CW72" s="217">
        <f>'Balance Sheet'!CW37/'Balance Sheet'!CV37-1</f>
        <v>2.5692020582449793E-2</v>
      </c>
      <c r="CX72" s="217">
        <f>'Balance Sheet'!CX37/'Balance Sheet'!CW37-1</f>
        <v>2.2335799332506179E-2</v>
      </c>
      <c r="CY72" s="217">
        <f>'Balance Sheet'!CY37/'Balance Sheet'!CX37-1</f>
        <v>6.8175028141854721E-2</v>
      </c>
      <c r="CZ72" s="217">
        <f>'Balance Sheet'!CZ37/'Balance Sheet'!CY37-1</f>
        <v>4.8209577162300121E-2</v>
      </c>
      <c r="DA72" s="216">
        <f ca="1">'Balance Sheet'!DA37/'Balance Sheet'!CZ37-1</f>
        <v>0.13942339571017337</v>
      </c>
      <c r="DB72" s="216">
        <f ca="1">'Balance Sheet'!DB37/'Balance Sheet'!DA37-1</f>
        <v>-2.956198101163876E-2</v>
      </c>
      <c r="DC72" s="216">
        <f ca="1">'Balance Sheet'!DC37/'Balance Sheet'!DB37-1</f>
        <v>5.5878693745407215E-2</v>
      </c>
      <c r="DD72" s="216">
        <f ca="1">'Balance Sheet'!DD37/'Balance Sheet'!DC37-1</f>
        <v>-1.4960103196446473E-2</v>
      </c>
      <c r="DE72" s="216">
        <f ca="1">'Balance Sheet'!DE37/'Balance Sheet'!DD37-1</f>
        <v>6.5480077217053179E-2</v>
      </c>
      <c r="DF72" s="216">
        <f ca="1">'Balance Sheet'!DF37/'Balance Sheet'!DE37-1</f>
        <v>-7.4894022283044093E-3</v>
      </c>
      <c r="DG72" s="216">
        <f ca="1">'Balance Sheet'!DG37/'Balance Sheet'!DF37-1</f>
        <v>5.4311980537474103E-2</v>
      </c>
      <c r="DH72" s="216">
        <f ca="1">'Balance Sheet'!DH37/'Balance Sheet'!DG37-1</f>
        <v>-8.2653249083811664E-3</v>
      </c>
      <c r="DI72" s="216">
        <f ca="1">'Balance Sheet'!DI37/'Balance Sheet'!DH37-1</f>
        <v>5.6593111931375839E-2</v>
      </c>
      <c r="DJ72" s="216">
        <f ca="1">'Balance Sheet'!DJ37/'Balance Sheet'!DI37-1</f>
        <v>-3.2893192850004249E-3</v>
      </c>
      <c r="DK72" s="216">
        <f ca="1">'Balance Sheet'!DK37/'Balance Sheet'!DJ37-1</f>
        <v>4.5072514212382231E-2</v>
      </c>
      <c r="DL72" s="216">
        <f ca="1">'Balance Sheet'!DL37/'Balance Sheet'!DK37-1</f>
        <v>-3.6185343951770088E-3</v>
      </c>
      <c r="DM72" s="216">
        <f ca="1">'Balance Sheet'!DM37/'Balance Sheet'!DL37-1</f>
        <v>5.1034292438759454E-2</v>
      </c>
      <c r="DN72" s="216">
        <f ca="1">'Balance Sheet'!DN37/'Balance Sheet'!DM37-1</f>
        <v>3.0244409894650826E-3</v>
      </c>
      <c r="DO72" s="216">
        <f ca="1">'Balance Sheet'!DO37/'Balance Sheet'!DN37-1</f>
        <v>3.9104057721475183E-2</v>
      </c>
      <c r="DP72" s="216">
        <f ca="1">'Balance Sheet'!DP37/'Balance Sheet'!DO37-1</f>
        <v>3.4901541854956974E-3</v>
      </c>
      <c r="DQ72" s="216">
        <f ca="1">'Balance Sheet'!DQ37/'Balance Sheet'!DP37-1</f>
        <v>4.554589086431049E-2</v>
      </c>
      <c r="DR72" s="216">
        <f ca="1">'Balance Sheet'!DR37/'Balance Sheet'!DQ37-1</f>
        <v>1.0331158337199886E-2</v>
      </c>
      <c r="DS72" s="216">
        <f ca="1">'Balance Sheet'!DS37/'Balance Sheet'!DR37-1</f>
        <v>3.2143366144567587E-2</v>
      </c>
      <c r="DT72" s="216">
        <f ca="1">'Balance Sheet'!DT37/'Balance Sheet'!DS37-1</f>
        <v>1.5233289831279251E-2</v>
      </c>
      <c r="DU72" s="216">
        <f ca="1">'Balance Sheet'!DU37/'Balance Sheet'!DT37-1</f>
        <v>3.7329552887576334E-2</v>
      </c>
      <c r="DV72" s="216">
        <f ca="1">'Balance Sheet'!DV37/'Balance Sheet'!DU37-1</f>
        <v>2.1960933114880454E-2</v>
      </c>
      <c r="DW72" s="216">
        <f ca="1">'Balance Sheet'!DW37/'Balance Sheet'!DV37-1</f>
        <v>2.3979738729126066E-2</v>
      </c>
      <c r="DX72" s="216">
        <f ca="1">'Balance Sheet'!DX37/'Balance Sheet'!DW37-1</f>
        <v>2.5930182742999852E-2</v>
      </c>
    </row>
    <row r="73" spans="1:128">
      <c r="A73" s="41" t="s">
        <v>221</v>
      </c>
      <c r="B73" s="217"/>
      <c r="C73" s="217"/>
      <c r="D73" s="217"/>
      <c r="E73" s="217"/>
      <c r="F73" s="217"/>
      <c r="G73" s="217"/>
      <c r="H73" s="217"/>
      <c r="I73" s="217"/>
      <c r="J73" s="217" t="e">
        <f>'Balance Sheet'!J35/'Balance Sheet'!I35-1</f>
        <v>#DIV/0!</v>
      </c>
      <c r="K73" s="217" t="e">
        <f>'Balance Sheet'!K35/'Balance Sheet'!J35-1</f>
        <v>#DIV/0!</v>
      </c>
      <c r="L73" s="217" t="e">
        <f>'Balance Sheet'!L35/'Balance Sheet'!K35-1</f>
        <v>#DIV/0!</v>
      </c>
      <c r="M73" s="217" t="e">
        <f>'Balance Sheet'!M35/'Balance Sheet'!L35-1</f>
        <v>#DIV/0!</v>
      </c>
      <c r="N73" s="217" t="e">
        <f>'Balance Sheet'!N35/'Balance Sheet'!M35-1</f>
        <v>#DIV/0!</v>
      </c>
      <c r="O73" s="217">
        <f>'Balance Sheet'!O35/'Balance Sheet'!N35-1</f>
        <v>0.28350908021229393</v>
      </c>
      <c r="P73" s="217">
        <f>'Balance Sheet'!P35/'Balance Sheet'!O35-1</f>
        <v>0.18632700359772625</v>
      </c>
      <c r="Q73" s="219">
        <f>'Balance Sheet'!Q35/'Balance Sheet'!P35-1</f>
        <v>0.16430379905637982</v>
      </c>
      <c r="R73" s="219">
        <f>'Balance Sheet'!R35/'Balance Sheet'!Q35-1</f>
        <v>8.8611454103376452E-2</v>
      </c>
      <c r="S73" s="219">
        <f>'Balance Sheet'!S35/'Balance Sheet'!R35-1</f>
        <v>0.11710507232604606</v>
      </c>
      <c r="T73" s="217">
        <f>'Balance Sheet'!T35/'Balance Sheet'!S35-1</f>
        <v>0.18161997177781353</v>
      </c>
      <c r="U73" s="216">
        <f>'Balance Sheet'!U35/'Balance Sheet'!T35-1</f>
        <v>0.11927467851954554</v>
      </c>
      <c r="V73" s="216">
        <f>'Balance Sheet'!V35/'Balance Sheet'!U35-1</f>
        <v>6.9788747721143185E-2</v>
      </c>
      <c r="W73" s="216">
        <f>'Balance Sheet'!W35/'Balance Sheet'!V35-1</f>
        <v>6.9798579556110907E-2</v>
      </c>
      <c r="X73" s="216">
        <f>'Balance Sheet'!X35/'Balance Sheet'!W35-1</f>
        <v>6.9807955575289293E-2</v>
      </c>
      <c r="Y73" s="216">
        <f>'Balance Sheet'!Y35/'Balance Sheet'!X35-1</f>
        <v>6.981689675031455E-2</v>
      </c>
      <c r="Z73" s="216">
        <f>'Balance Sheet'!Z35/'Balance Sheet'!Y35-1</f>
        <v>6.9825423102545914E-2</v>
      </c>
      <c r="AA73" s="213"/>
      <c r="AB73" s="41" t="str">
        <f t="shared" si="47"/>
        <v>Non-interest bearing deposits, % growth</v>
      </c>
      <c r="AC73" s="218"/>
      <c r="AD73" s="217" t="e">
        <f>'Balance Sheet'!AD35/'Balance Sheet'!AC35-1</f>
        <v>#DIV/0!</v>
      </c>
      <c r="AE73" s="217" t="e">
        <f>'Balance Sheet'!AE35/'Balance Sheet'!AD35-1</f>
        <v>#DIV/0!</v>
      </c>
      <c r="AF73" s="217" t="e">
        <f>'Balance Sheet'!AF35/'Balance Sheet'!AE35-1</f>
        <v>#DIV/0!</v>
      </c>
      <c r="AG73" s="217" t="e">
        <f>'Balance Sheet'!AG35/'Balance Sheet'!AF35-1</f>
        <v>#DIV/0!</v>
      </c>
      <c r="AH73" s="217" t="e">
        <f>'Balance Sheet'!AH35/'Balance Sheet'!AG35-1</f>
        <v>#DIV/0!</v>
      </c>
      <c r="AI73" s="217" t="e">
        <f>'Balance Sheet'!AI35/'Balance Sheet'!AH35-1</f>
        <v>#DIV/0!</v>
      </c>
      <c r="AJ73" s="217" t="e">
        <f>'Balance Sheet'!AJ35/'Balance Sheet'!AI35-1</f>
        <v>#DIV/0!</v>
      </c>
      <c r="AK73" s="217" t="e">
        <f>'Balance Sheet'!AK35/'Balance Sheet'!AJ35-1</f>
        <v>#DIV/0!</v>
      </c>
      <c r="AL73" s="217" t="e">
        <f>'Balance Sheet'!AL35/'Balance Sheet'!AK35-1</f>
        <v>#DIV/0!</v>
      </c>
      <c r="AM73" s="217" t="e">
        <f>'Balance Sheet'!AM35/'Balance Sheet'!AL35-1</f>
        <v>#DIV/0!</v>
      </c>
      <c r="AN73" s="217" t="e">
        <f>'Balance Sheet'!AN35/'Balance Sheet'!AM35-1</f>
        <v>#DIV/0!</v>
      </c>
      <c r="AO73" s="217" t="e">
        <f>'Balance Sheet'!AO35/'Balance Sheet'!AN35-1</f>
        <v>#DIV/0!</v>
      </c>
      <c r="AP73" s="217" t="e">
        <f>'Balance Sheet'!AP35/'Balance Sheet'!AO35-1</f>
        <v>#DIV/0!</v>
      </c>
      <c r="AQ73" s="217" t="e">
        <f>'Balance Sheet'!AQ35/'Balance Sheet'!AP35-1</f>
        <v>#DIV/0!</v>
      </c>
      <c r="AR73" s="217" t="e">
        <f>'Balance Sheet'!AR35/'Balance Sheet'!AQ35-1</f>
        <v>#DIV/0!</v>
      </c>
      <c r="AS73" s="217" t="e">
        <f>'Balance Sheet'!AS35/'Balance Sheet'!AR35-1</f>
        <v>#DIV/0!</v>
      </c>
      <c r="AT73" s="217" t="e">
        <f>'Balance Sheet'!AT35/'Balance Sheet'!AS35-1</f>
        <v>#DIV/0!</v>
      </c>
      <c r="AU73" s="217" t="e">
        <f>'Balance Sheet'!AU35/'Balance Sheet'!AT35-1</f>
        <v>#DIV/0!</v>
      </c>
      <c r="AV73" s="217" t="e">
        <f>'Balance Sheet'!AV35/'Balance Sheet'!AU35-1</f>
        <v>#DIV/0!</v>
      </c>
      <c r="AW73" s="217" t="e">
        <f>'Balance Sheet'!AW35/'Balance Sheet'!AV35-1</f>
        <v>#DIV/0!</v>
      </c>
      <c r="AX73" s="217" t="e">
        <f>'Balance Sheet'!AX35/'Balance Sheet'!AW35-1</f>
        <v>#DIV/0!</v>
      </c>
      <c r="AY73" s="217" t="e">
        <f>'Balance Sheet'!AY35/'Balance Sheet'!AX35-1</f>
        <v>#DIV/0!</v>
      </c>
      <c r="AZ73" s="217" t="e">
        <f>'Balance Sheet'!AZ35/'Balance Sheet'!AY35-1</f>
        <v>#DIV/0!</v>
      </c>
      <c r="BA73" s="217" t="e">
        <f>'Balance Sheet'!BA35/'Balance Sheet'!AZ35-1</f>
        <v>#DIV/0!</v>
      </c>
      <c r="BB73" s="217" t="e">
        <f>'Balance Sheet'!BB35/'Balance Sheet'!BA35-1</f>
        <v>#DIV/0!</v>
      </c>
      <c r="BC73" s="217" t="e">
        <f>'Balance Sheet'!BC35/'Balance Sheet'!BB35-1</f>
        <v>#DIV/0!</v>
      </c>
      <c r="BD73" s="217" t="e">
        <f>'Balance Sheet'!BD35/'Balance Sheet'!BC35-1</f>
        <v>#DIV/0!</v>
      </c>
      <c r="BE73" s="217" t="e">
        <f>'Balance Sheet'!BE35/'Balance Sheet'!BD35-1</f>
        <v>#DIV/0!</v>
      </c>
      <c r="BF73" s="217" t="e">
        <f>'Balance Sheet'!BF35/'Balance Sheet'!BE35-1</f>
        <v>#DIV/0!</v>
      </c>
      <c r="BG73" s="217" t="e">
        <f>'Balance Sheet'!BG35/'Balance Sheet'!BF35-1</f>
        <v>#DIV/0!</v>
      </c>
      <c r="BH73" s="217" t="e">
        <f>'Balance Sheet'!BH35/'Balance Sheet'!BG35-1</f>
        <v>#DIV/0!</v>
      </c>
      <c r="BI73" s="217" t="e">
        <f>'Balance Sheet'!BI35/'Balance Sheet'!BH35-1</f>
        <v>#DIV/0!</v>
      </c>
      <c r="BJ73" s="217" t="e">
        <f>'Balance Sheet'!BJ35/'Balance Sheet'!BI35-1</f>
        <v>#DIV/0!</v>
      </c>
      <c r="BK73" s="217" t="e">
        <f>'Balance Sheet'!BK35/'Balance Sheet'!BJ35-1</f>
        <v>#DIV/0!</v>
      </c>
      <c r="BL73" s="217" t="e">
        <f>'Balance Sheet'!BL35/'Balance Sheet'!BK35-1</f>
        <v>#DIV/0!</v>
      </c>
      <c r="BM73" s="217" t="e">
        <f>'Balance Sheet'!BM35/'Balance Sheet'!BL35-1</f>
        <v>#DIV/0!</v>
      </c>
      <c r="BN73" s="217" t="e">
        <f>'Balance Sheet'!BN35/'Balance Sheet'!BM35-1</f>
        <v>#DIV/0!</v>
      </c>
      <c r="BO73" s="217" t="e">
        <f>'Balance Sheet'!BO35/'Balance Sheet'!BN35-1</f>
        <v>#DIV/0!</v>
      </c>
      <c r="BP73" s="217" t="e">
        <f>'Balance Sheet'!BP35/'Balance Sheet'!BO35-1</f>
        <v>#DIV/0!</v>
      </c>
      <c r="BQ73" s="217" t="e">
        <f>'Balance Sheet'!BQ35/'Balance Sheet'!BP35-1</f>
        <v>#DIV/0!</v>
      </c>
      <c r="BR73" s="217" t="e">
        <f>'Balance Sheet'!BR35/'Balance Sheet'!BQ35-1</f>
        <v>#DIV/0!</v>
      </c>
      <c r="BS73" s="217" t="e">
        <f>'Balance Sheet'!BS35/'Balance Sheet'!BR35-1</f>
        <v>#DIV/0!</v>
      </c>
      <c r="BT73" s="217" t="e">
        <f>'Balance Sheet'!BT35/'Balance Sheet'!BS35-1</f>
        <v>#DIV/0!</v>
      </c>
      <c r="BU73" s="217" t="e">
        <f>'Balance Sheet'!BU35/'Balance Sheet'!BT35-1</f>
        <v>#DIV/0!</v>
      </c>
      <c r="BV73" s="217" t="e">
        <f>'Balance Sheet'!BV35/'Balance Sheet'!BU35-1</f>
        <v>#DIV/0!</v>
      </c>
      <c r="BW73" s="217" t="e">
        <f>'Balance Sheet'!BW35/'Balance Sheet'!BV35-1</f>
        <v>#DIV/0!</v>
      </c>
      <c r="BX73" s="217" t="e">
        <f>'Balance Sheet'!BX35/'Balance Sheet'!BW35-1</f>
        <v>#DIV/0!</v>
      </c>
      <c r="BY73" s="217" t="e">
        <f>'Balance Sheet'!BY35/'Balance Sheet'!BX35-1</f>
        <v>#DIV/0!</v>
      </c>
      <c r="BZ73" s="217">
        <f>'Balance Sheet'!BZ35/'Balance Sheet'!BY35-1</f>
        <v>-9.4102708743799224E-2</v>
      </c>
      <c r="CA73" s="217">
        <f>'Balance Sheet'!CA35/'Balance Sheet'!BZ35-1</f>
        <v>-0.17240010716334819</v>
      </c>
      <c r="CB73" s="217">
        <f>'Balance Sheet'!CB35/'Balance Sheet'!CA35-1</f>
        <v>-4.4242212007824189E-2</v>
      </c>
      <c r="CC73" s="217">
        <f>'Balance Sheet'!CC35/'Balance Sheet'!CB35-1</f>
        <v>0.13732245361674589</v>
      </c>
      <c r="CD73" s="217">
        <f>'Balance Sheet'!CD35/'Balance Sheet'!CC35-1</f>
        <v>7.7057410853397901E-2</v>
      </c>
      <c r="CE73" s="217">
        <f>'Balance Sheet'!CE35/'Balance Sheet'!CD35-1</f>
        <v>-3.1424902365276397E-2</v>
      </c>
      <c r="CF73" s="217">
        <f>'Balance Sheet'!CF35/'Balance Sheet'!CE35-1</f>
        <v>8.179054127963914E-2</v>
      </c>
      <c r="CG73" s="217">
        <f>'Balance Sheet'!CG35/'Balance Sheet'!CF35-1</f>
        <v>0.12171555571396309</v>
      </c>
      <c r="CH73" s="217">
        <f>'Balance Sheet'!CH35/'Balance Sheet'!CG35-1</f>
        <v>6.3063636056326144E-2</v>
      </c>
      <c r="CI73" s="217">
        <f>'Balance Sheet'!CI35/'Balance Sheet'!CH35-1</f>
        <v>-3.0864113008871707E-2</v>
      </c>
      <c r="CJ73" s="217">
        <f>'Balance Sheet'!CJ35/'Balance Sheet'!CI35-1</f>
        <v>2.6544392757827495E-2</v>
      </c>
      <c r="CK73" s="217">
        <f>'Balance Sheet'!CK35/'Balance Sheet'!CJ35-1</f>
        <v>7.2068898775996315E-2</v>
      </c>
      <c r="CL73" s="217">
        <f>'Balance Sheet'!CL35/'Balance Sheet'!CK35-1</f>
        <v>-1.4015979907158194E-3</v>
      </c>
      <c r="CM73" s="217">
        <f>'Balance Sheet'!CM35/'Balance Sheet'!CL35-1</f>
        <v>-7.0068946766472795E-3</v>
      </c>
      <c r="CN73" s="217">
        <f>'Balance Sheet'!CN35/'Balance Sheet'!CM35-1</f>
        <v>9.5232991836949221E-2</v>
      </c>
      <c r="CO73" s="217">
        <f>'Balance Sheet'!CO35/'Balance Sheet'!CN35-1</f>
        <v>1.6833729592629076E-2</v>
      </c>
      <c r="CP73" s="217">
        <f>'Balance Sheet'!CP35/'Balance Sheet'!CO35-1</f>
        <v>-7.7872348662819113E-2</v>
      </c>
      <c r="CQ73" s="217">
        <f>'Balance Sheet'!CQ35/'Balance Sheet'!CP35-1</f>
        <v>7.6524275256316221E-2</v>
      </c>
      <c r="CR73" s="217">
        <f>'Balance Sheet'!CR35/'Balance Sheet'!CQ35-1</f>
        <v>7.847003552210996E-2</v>
      </c>
      <c r="CS73" s="217">
        <f>'Balance Sheet'!CS35/'Balance Sheet'!CR35-1</f>
        <v>4.7289157830399109E-2</v>
      </c>
      <c r="CT73" s="217">
        <f>'Balance Sheet'!CT35/'Balance Sheet'!CS35-1</f>
        <v>1.971590781543564E-2</v>
      </c>
      <c r="CU73" s="217">
        <f>'Balance Sheet'!CU35/'Balance Sheet'!CT35-1</f>
        <v>-2.4714635197641166E-2</v>
      </c>
      <c r="CV73" s="217">
        <f>'Balance Sheet'!CV35/'Balance Sheet'!CU35-1</f>
        <v>7.2547449890452143E-2</v>
      </c>
      <c r="CW73" s="217">
        <f>'Balance Sheet'!CW35/'Balance Sheet'!CV35-1</f>
        <v>4.4918361204034474E-2</v>
      </c>
      <c r="CX73" s="217">
        <f>'Balance Sheet'!CX35/'Balance Sheet'!CW35-1</f>
        <v>0.10273215630475607</v>
      </c>
      <c r="CY73" s="217">
        <f>'Balance Sheet'!CY35/'Balance Sheet'!CX35-1</f>
        <v>-1.9692386992491984E-2</v>
      </c>
      <c r="CZ73" s="217">
        <f>'Balance Sheet'!CZ35/'Balance Sheet'!CY35-1</f>
        <v>4.6075541306502155E-2</v>
      </c>
      <c r="DA73" s="216">
        <v>5.3563999572677323E-2</v>
      </c>
      <c r="DB73" s="216">
        <v>2.1812640672711714E-2</v>
      </c>
      <c r="DC73" s="216">
        <v>2.1269136211268913E-2</v>
      </c>
      <c r="DD73" s="216">
        <v>1.8038677776117007E-2</v>
      </c>
      <c r="DE73" s="216">
        <v>1.6345027265265433E-2</v>
      </c>
      <c r="DF73" s="216">
        <v>1.7107687626853219E-2</v>
      </c>
      <c r="DG73" s="216">
        <v>1.6541952748614364E-2</v>
      </c>
      <c r="DH73" s="216">
        <v>1.8039468162861727E-2</v>
      </c>
      <c r="DI73" s="216">
        <v>1.6347055095221386E-2</v>
      </c>
      <c r="DJ73" s="216">
        <v>1.7111861048646038E-2</v>
      </c>
      <c r="DK73" s="216">
        <v>1.6544343233387382E-2</v>
      </c>
      <c r="DL73" s="216">
        <v>1.8040221907462017E-2</v>
      </c>
      <c r="DM73" s="216">
        <v>1.6348988912521678E-2</v>
      </c>
      <c r="DN73" s="216">
        <v>1.7115840970031826E-2</v>
      </c>
      <c r="DO73" s="216">
        <v>1.6546622865228011E-2</v>
      </c>
      <c r="DP73" s="216">
        <v>1.8040940695682739E-2</v>
      </c>
      <c r="DQ73" s="216">
        <v>1.6350833042596546E-2</v>
      </c>
      <c r="DR73" s="216">
        <v>1.7119636295184648E-2</v>
      </c>
      <c r="DS73" s="216">
        <v>1.6548796746841843E-2</v>
      </c>
      <c r="DT73" s="216">
        <v>1.8041626136912292E-2</v>
      </c>
      <c r="DU73" s="216">
        <v>1.6352591614879897E-2</v>
      </c>
      <c r="DV73" s="216">
        <v>1.7123255524679637E-2</v>
      </c>
      <c r="DW73" s="216">
        <v>1.6550869749492714E-2</v>
      </c>
      <c r="DX73" s="216">
        <v>1.8042279767515268E-2</v>
      </c>
    </row>
    <row r="74" spans="1:128">
      <c r="A74" s="41" t="s">
        <v>220</v>
      </c>
      <c r="B74" s="217"/>
      <c r="C74" s="217"/>
      <c r="D74" s="217"/>
      <c r="E74" s="217"/>
      <c r="F74" s="217"/>
      <c r="G74" s="217"/>
      <c r="H74" s="217"/>
      <c r="I74" s="217"/>
      <c r="J74" s="217" t="e">
        <f>'Balance Sheet'!J36/'Balance Sheet'!I36-1</f>
        <v>#DIV/0!</v>
      </c>
      <c r="K74" s="217" t="e">
        <f>'Balance Sheet'!K36/'Balance Sheet'!J36-1</f>
        <v>#DIV/0!</v>
      </c>
      <c r="L74" s="217" t="e">
        <f>'Balance Sheet'!L36/'Balance Sheet'!K36-1</f>
        <v>#DIV/0!</v>
      </c>
      <c r="M74" s="217" t="e">
        <f>'Balance Sheet'!M36/'Balance Sheet'!L36-1</f>
        <v>#DIV/0!</v>
      </c>
      <c r="N74" s="217" t="e">
        <f>'Balance Sheet'!N36/'Balance Sheet'!M36-1</f>
        <v>#DIV/0!</v>
      </c>
      <c r="O74" s="217">
        <f>'Balance Sheet'!O36/'Balance Sheet'!N36-1</f>
        <v>0.23589841570171477</v>
      </c>
      <c r="P74" s="217">
        <f>'Balance Sheet'!P36/'Balance Sheet'!O36-1</f>
        <v>-4.9101188339784052E-2</v>
      </c>
      <c r="Q74" s="219">
        <f>'Balance Sheet'!Q36/'Balance Sheet'!P36-1</f>
        <v>0.21143148013967594</v>
      </c>
      <c r="R74" s="219">
        <f>'Balance Sheet'!R36/'Balance Sheet'!Q36-1</f>
        <v>0.12615278320723222</v>
      </c>
      <c r="S74" s="219">
        <f>'Balance Sheet'!S36/'Balance Sheet'!R36-1</f>
        <v>0.13141370354082893</v>
      </c>
      <c r="T74" s="217">
        <f>'Balance Sheet'!T36/'Balance Sheet'!S36-1</f>
        <v>0.17135100490844879</v>
      </c>
      <c r="U74" s="216">
        <f ca="1">'Balance Sheet'!U36/'Balance Sheet'!T36-1</f>
        <v>0.16135267973137557</v>
      </c>
      <c r="V74" s="216">
        <f ca="1">'Balance Sheet'!V36/'Balance Sheet'!U36-1</f>
        <v>0.11842147312932561</v>
      </c>
      <c r="W74" s="216">
        <f ca="1">'Balance Sheet'!W36/'Balance Sheet'!V36-1</f>
        <v>0.10566466860567747</v>
      </c>
      <c r="X74" s="216">
        <f ca="1">'Balance Sheet'!X36/'Balance Sheet'!W36-1</f>
        <v>0.10889591749678473</v>
      </c>
      <c r="Y74" s="216">
        <f ca="1">'Balance Sheet'!Y36/'Balance Sheet'!X36-1</f>
        <v>0.11861891794402579</v>
      </c>
      <c r="Z74" s="216">
        <f ca="1">'Balance Sheet'!Z36/'Balance Sheet'!Y36-1</f>
        <v>0.12691708157151216</v>
      </c>
      <c r="AA74" s="213"/>
      <c r="AB74" s="41" t="str">
        <f t="shared" si="47"/>
        <v>Interest bearing deposits, % growth</v>
      </c>
      <c r="AC74" s="218"/>
      <c r="AD74" s="217" t="e">
        <f>'Balance Sheet'!AD36/'Balance Sheet'!AC36-1</f>
        <v>#DIV/0!</v>
      </c>
      <c r="AE74" s="217" t="e">
        <f>'Balance Sheet'!AE36/'Balance Sheet'!AD36-1</f>
        <v>#DIV/0!</v>
      </c>
      <c r="AF74" s="217" t="e">
        <f>'Balance Sheet'!AF36/'Balance Sheet'!AE36-1</f>
        <v>#DIV/0!</v>
      </c>
      <c r="AG74" s="217" t="e">
        <f>'Balance Sheet'!AG36/'Balance Sheet'!AF36-1</f>
        <v>#DIV/0!</v>
      </c>
      <c r="AH74" s="217" t="e">
        <f>'Balance Sheet'!AH36/'Balance Sheet'!AG36-1</f>
        <v>#DIV/0!</v>
      </c>
      <c r="AI74" s="217" t="e">
        <f>'Balance Sheet'!AI36/'Balance Sheet'!AH36-1</f>
        <v>#DIV/0!</v>
      </c>
      <c r="AJ74" s="217" t="e">
        <f>'Balance Sheet'!AJ36/'Balance Sheet'!AI36-1</f>
        <v>#DIV/0!</v>
      </c>
      <c r="AK74" s="217" t="e">
        <f>'Balance Sheet'!AK36/'Balance Sheet'!AJ36-1</f>
        <v>#DIV/0!</v>
      </c>
      <c r="AL74" s="217" t="e">
        <f>'Balance Sheet'!AL36/'Balance Sheet'!AK36-1</f>
        <v>#DIV/0!</v>
      </c>
      <c r="AM74" s="217" t="e">
        <f>'Balance Sheet'!AM36/'Balance Sheet'!AL36-1</f>
        <v>#DIV/0!</v>
      </c>
      <c r="AN74" s="217" t="e">
        <f>'Balance Sheet'!AN36/'Balance Sheet'!AM36-1</f>
        <v>#DIV/0!</v>
      </c>
      <c r="AO74" s="217" t="e">
        <f>'Balance Sheet'!AO36/'Balance Sheet'!AN36-1</f>
        <v>#DIV/0!</v>
      </c>
      <c r="AP74" s="217" t="e">
        <f>'Balance Sheet'!AP36/'Balance Sheet'!AO36-1</f>
        <v>#DIV/0!</v>
      </c>
      <c r="AQ74" s="217" t="e">
        <f>'Balance Sheet'!AQ36/'Balance Sheet'!AP36-1</f>
        <v>#DIV/0!</v>
      </c>
      <c r="AR74" s="217" t="e">
        <f>'Balance Sheet'!AR36/'Balance Sheet'!AQ36-1</f>
        <v>#DIV/0!</v>
      </c>
      <c r="AS74" s="217" t="e">
        <f>'Balance Sheet'!AS36/'Balance Sheet'!AR36-1</f>
        <v>#DIV/0!</v>
      </c>
      <c r="AT74" s="217" t="e">
        <f>'Balance Sheet'!AT36/'Balance Sheet'!AS36-1</f>
        <v>#DIV/0!</v>
      </c>
      <c r="AU74" s="217" t="e">
        <f>'Balance Sheet'!AU36/'Balance Sheet'!AT36-1</f>
        <v>#DIV/0!</v>
      </c>
      <c r="AV74" s="217" t="e">
        <f>'Balance Sheet'!AV36/'Balance Sheet'!AU36-1</f>
        <v>#DIV/0!</v>
      </c>
      <c r="AW74" s="217" t="e">
        <f>'Balance Sheet'!AW36/'Balance Sheet'!AV36-1</f>
        <v>#DIV/0!</v>
      </c>
      <c r="AX74" s="217" t="e">
        <f>'Balance Sheet'!AX36/'Balance Sheet'!AW36-1</f>
        <v>#DIV/0!</v>
      </c>
      <c r="AY74" s="217" t="e">
        <f>'Balance Sheet'!AY36/'Balance Sheet'!AX36-1</f>
        <v>#DIV/0!</v>
      </c>
      <c r="AZ74" s="217" t="e">
        <f>'Balance Sheet'!AZ36/'Balance Sheet'!AY36-1</f>
        <v>#DIV/0!</v>
      </c>
      <c r="BA74" s="217" t="e">
        <f>'Balance Sheet'!BA36/'Balance Sheet'!AZ36-1</f>
        <v>#DIV/0!</v>
      </c>
      <c r="BB74" s="217" t="e">
        <f>'Balance Sheet'!BB36/'Balance Sheet'!BA36-1</f>
        <v>#DIV/0!</v>
      </c>
      <c r="BC74" s="217" t="e">
        <f>'Balance Sheet'!BC36/'Balance Sheet'!BB36-1</f>
        <v>#DIV/0!</v>
      </c>
      <c r="BD74" s="217" t="e">
        <f>'Balance Sheet'!BD36/'Balance Sheet'!BC36-1</f>
        <v>#DIV/0!</v>
      </c>
      <c r="BE74" s="217" t="e">
        <f>'Balance Sheet'!BE36/'Balance Sheet'!BD36-1</f>
        <v>#DIV/0!</v>
      </c>
      <c r="BF74" s="217" t="e">
        <f>'Balance Sheet'!BF36/'Balance Sheet'!BE36-1</f>
        <v>#DIV/0!</v>
      </c>
      <c r="BG74" s="217" t="e">
        <f>'Balance Sheet'!BG36/'Balance Sheet'!BF36-1</f>
        <v>#DIV/0!</v>
      </c>
      <c r="BH74" s="217" t="e">
        <f>'Balance Sheet'!BH36/'Balance Sheet'!BG36-1</f>
        <v>#DIV/0!</v>
      </c>
      <c r="BI74" s="217" t="e">
        <f>'Balance Sheet'!BI36/'Balance Sheet'!BH36-1</f>
        <v>#DIV/0!</v>
      </c>
      <c r="BJ74" s="217" t="e">
        <f>'Balance Sheet'!BJ36/'Balance Sheet'!BI36-1</f>
        <v>#DIV/0!</v>
      </c>
      <c r="BK74" s="217" t="e">
        <f>'Balance Sheet'!BK36/'Balance Sheet'!BJ36-1</f>
        <v>#DIV/0!</v>
      </c>
      <c r="BL74" s="217" t="e">
        <f>'Balance Sheet'!BL36/'Balance Sheet'!BK36-1</f>
        <v>#DIV/0!</v>
      </c>
      <c r="BM74" s="217" t="e">
        <f>'Balance Sheet'!BM36/'Balance Sheet'!BL36-1</f>
        <v>#DIV/0!</v>
      </c>
      <c r="BN74" s="217" t="e">
        <f>'Balance Sheet'!BN36/'Balance Sheet'!BM36-1</f>
        <v>#DIV/0!</v>
      </c>
      <c r="BO74" s="217" t="e">
        <f>'Balance Sheet'!BO36/'Balance Sheet'!BN36-1</f>
        <v>#DIV/0!</v>
      </c>
      <c r="BP74" s="217" t="e">
        <f>'Balance Sheet'!BP36/'Balance Sheet'!BO36-1</f>
        <v>#DIV/0!</v>
      </c>
      <c r="BQ74" s="217" t="e">
        <f>'Balance Sheet'!BQ36/'Balance Sheet'!BP36-1</f>
        <v>#DIV/0!</v>
      </c>
      <c r="BR74" s="217" t="e">
        <f>'Balance Sheet'!BR36/'Balance Sheet'!BQ36-1</f>
        <v>#DIV/0!</v>
      </c>
      <c r="BS74" s="217" t="e">
        <f>'Balance Sheet'!BS36/'Balance Sheet'!BR36-1</f>
        <v>#DIV/0!</v>
      </c>
      <c r="BT74" s="217" t="e">
        <f>'Balance Sheet'!BT36/'Balance Sheet'!BS36-1</f>
        <v>#DIV/0!</v>
      </c>
      <c r="BU74" s="217" t="e">
        <f>'Balance Sheet'!BU36/'Balance Sheet'!BT36-1</f>
        <v>#DIV/0!</v>
      </c>
      <c r="BV74" s="217" t="e">
        <f>'Balance Sheet'!BV36/'Balance Sheet'!BU36-1</f>
        <v>#DIV/0!</v>
      </c>
      <c r="BW74" s="217" t="e">
        <f>'Balance Sheet'!BW36/'Balance Sheet'!BV36-1</f>
        <v>#DIV/0!</v>
      </c>
      <c r="BX74" s="217" t="e">
        <f>'Balance Sheet'!BX36/'Balance Sheet'!BW36-1</f>
        <v>#DIV/0!</v>
      </c>
      <c r="BY74" s="217" t="e">
        <f>'Balance Sheet'!BY36/'Balance Sheet'!BX36-1</f>
        <v>#DIV/0!</v>
      </c>
      <c r="BZ74" s="217">
        <f>'Balance Sheet'!BZ36/'Balance Sheet'!BY36-1</f>
        <v>1.3374267945888141E-2</v>
      </c>
      <c r="CA74" s="217">
        <f>'Balance Sheet'!CA36/'Balance Sheet'!BZ36-1</f>
        <v>8.5517523345612911E-3</v>
      </c>
      <c r="CB74" s="217">
        <f>'Balance Sheet'!CB36/'Balance Sheet'!CA36-1</f>
        <v>5.9372435245578004E-2</v>
      </c>
      <c r="CC74" s="217">
        <f>'Balance Sheet'!CC36/'Balance Sheet'!CB36-1</f>
        <v>5.7159910509740897E-4</v>
      </c>
      <c r="CD74" s="217">
        <f>'Balance Sheet'!CD36/'Balance Sheet'!CC36-1</f>
        <v>6.8666257599550029E-3</v>
      </c>
      <c r="CE74" s="217">
        <f>'Balance Sheet'!CE36/'Balance Sheet'!CD36-1</f>
        <v>0.1164662667899985</v>
      </c>
      <c r="CF74" s="217">
        <f>'Balance Sheet'!CF36/'Balance Sheet'!CE36-1</f>
        <v>9.8795956785036276E-2</v>
      </c>
      <c r="CG74" s="217">
        <f>'Balance Sheet'!CG36/'Balance Sheet'!CF36-1</f>
        <v>-4.148867141443946E-2</v>
      </c>
      <c r="CH74" s="217">
        <f>'Balance Sheet'!CH36/'Balance Sheet'!CG36-1</f>
        <v>-1.6016977428803147E-2</v>
      </c>
      <c r="CI74" s="217">
        <f>'Balance Sheet'!CI36/'Balance Sheet'!CH36-1</f>
        <v>-1.1476406012095874E-2</v>
      </c>
      <c r="CJ74" s="217">
        <f>'Balance Sheet'!CJ36/'Balance Sheet'!CI36-1</f>
        <v>1.9911314651134271E-2</v>
      </c>
      <c r="CK74" s="217">
        <f>'Balance Sheet'!CK36/'Balance Sheet'!CJ36-1</f>
        <v>0.11602438368232293</v>
      </c>
      <c r="CL74" s="217">
        <f>'Balance Sheet'!CL36/'Balance Sheet'!CK36-1</f>
        <v>3.7664322848636633E-2</v>
      </c>
      <c r="CM74" s="217">
        <f>'Balance Sheet'!CM36/'Balance Sheet'!CL36-1</f>
        <v>-1.4661833409992941E-2</v>
      </c>
      <c r="CN74" s="217">
        <f>'Balance Sheet'!CN36/'Balance Sheet'!CM36-1</f>
        <v>6.1653953172763343E-2</v>
      </c>
      <c r="CO74" s="217">
        <f>'Balance Sheet'!CO36/'Balance Sheet'!CN36-1</f>
        <v>8.7742644701785055E-2</v>
      </c>
      <c r="CP74" s="217">
        <f>'Balance Sheet'!CP36/'Balance Sheet'!CO36-1</f>
        <v>2.8728295738494669E-2</v>
      </c>
      <c r="CQ74" s="217">
        <f>'Balance Sheet'!CQ36/'Balance Sheet'!CP36-1</f>
        <v>1.4646429031024422E-3</v>
      </c>
      <c r="CR74" s="217">
        <f>'Balance Sheet'!CR36/'Balance Sheet'!CQ36-1</f>
        <v>4.9277818730737444E-3</v>
      </c>
      <c r="CS74" s="217">
        <f>'Balance Sheet'!CS36/'Balance Sheet'!CR36-1</f>
        <v>0.10459877595463518</v>
      </c>
      <c r="CT74" s="217">
        <f>'Balance Sheet'!CT36/'Balance Sheet'!CS36-1</f>
        <v>1.2620772918439993E-2</v>
      </c>
      <c r="CU74" s="217">
        <f>'Balance Sheet'!CU36/'Balance Sheet'!CT36-1</f>
        <v>-4.6714790057835742E-3</v>
      </c>
      <c r="CV74" s="217">
        <f>'Balance Sheet'!CV36/'Balance Sheet'!CU36-1</f>
        <v>1.6257106996547144E-2</v>
      </c>
      <c r="CW74" s="217">
        <f>'Balance Sheet'!CW36/'Balance Sheet'!CV36-1</f>
        <v>1.8701336928433898E-2</v>
      </c>
      <c r="CX74" s="217">
        <f>'Balance Sheet'!CX36/'Balance Sheet'!CW36-1</f>
        <v>-7.6485667674106583E-3</v>
      </c>
      <c r="CY74" s="217">
        <f>'Balance Sheet'!CY36/'Balance Sheet'!CX36-1</f>
        <v>0.10459091494086392</v>
      </c>
      <c r="CZ74" s="217">
        <f>'Balance Sheet'!CZ36/'Balance Sheet'!CY36-1</f>
        <v>4.8994497641470014E-2</v>
      </c>
      <c r="DA74" s="216">
        <f ca="1">'Balance Sheet'!DA36/'Balance Sheet'!CZ36-1</f>
        <v>0.17091549525315775</v>
      </c>
      <c r="DB74" s="216">
        <f ca="1">'Balance Sheet'!DB36/'Balance Sheet'!DA36-1</f>
        <v>-4.6516980917267525E-2</v>
      </c>
      <c r="DC74" s="216">
        <f ca="1">'Balance Sheet'!DC36/'Balance Sheet'!DB36-1</f>
        <v>6.8119316399483099E-2</v>
      </c>
      <c r="DD74" s="216">
        <f ca="1">'Balance Sheet'!DD36/'Balance Sheet'!DC36-1</f>
        <v>-2.6119116560679889E-2</v>
      </c>
      <c r="DE74" s="216">
        <f ca="1">'Balance Sheet'!DE36/'Balance Sheet'!DD36-1</f>
        <v>8.2849194197719411E-2</v>
      </c>
      <c r="DF74" s="216">
        <f ca="1">'Balance Sheet'!DF36/'Balance Sheet'!DE36-1</f>
        <v>-1.565039991606143E-2</v>
      </c>
      <c r="DG74" s="216">
        <f ca="1">'Balance Sheet'!DG36/'Balance Sheet'!DF36-1</f>
        <v>6.7260627766912107E-2</v>
      </c>
      <c r="DH74" s="216">
        <f ca="1">'Balance Sheet'!DH36/'Balance Sheet'!DG36-1</f>
        <v>-1.6854803529445794E-2</v>
      </c>
      <c r="DI74" s="216">
        <f ca="1">'Balance Sheet'!DI36/'Balance Sheet'!DH36-1</f>
        <v>7.0201359552596321E-2</v>
      </c>
      <c r="DJ74" s="216">
        <f ca="1">'Balance Sheet'!DJ36/'Balance Sheet'!DI36-1</f>
        <v>-9.8403660039229068E-3</v>
      </c>
      <c r="DK74" s="216">
        <f ca="1">'Balance Sheet'!DK36/'Balance Sheet'!DJ36-1</f>
        <v>5.4482583734797529E-2</v>
      </c>
      <c r="DL74" s="216">
        <f ca="1">'Balance Sheet'!DL36/'Balance Sheet'!DK36-1</f>
        <v>-1.0505681113454179E-2</v>
      </c>
      <c r="DM74" s="216">
        <f ca="1">'Balance Sheet'!DM36/'Balance Sheet'!DL36-1</f>
        <v>6.2381864551838362E-2</v>
      </c>
      <c r="DN74" s="216">
        <f ca="1">'Balance Sheet'!DN36/'Balance Sheet'!DM36-1</f>
        <v>-1.3859166223335606E-3</v>
      </c>
      <c r="DO74" s="216">
        <f ca="1">'Balance Sheet'!DO36/'Balance Sheet'!DN36-1</f>
        <v>4.6294938800334862E-2</v>
      </c>
      <c r="DP74" s="216">
        <f ca="1">'Balance Sheet'!DP36/'Balance Sheet'!DO36-1</f>
        <v>-1.0164772407381673E-3</v>
      </c>
      <c r="DQ74" s="216">
        <f ca="1">'Balance Sheet'!DQ36/'Balance Sheet'!DP36-1</f>
        <v>5.4760604226220089E-2</v>
      </c>
      <c r="DR74" s="216">
        <f ca="1">'Balance Sheet'!DR36/'Balance Sheet'!DQ36-1</f>
        <v>8.2665643891093321E-3</v>
      </c>
      <c r="DS74" s="216">
        <f ca="1">'Balance Sheet'!DS36/'Balance Sheet'!DR36-1</f>
        <v>3.6927819207411172E-2</v>
      </c>
      <c r="DT74" s="216">
        <f ca="1">'Balance Sheet'!DT36/'Balance Sheet'!DS36-1</f>
        <v>1.4388618547049203E-2</v>
      </c>
      <c r="DU74" s="216">
        <f ca="1">'Balance Sheet'!DU36/'Balance Sheet'!DT36-1</f>
        <v>4.366157408627358E-2</v>
      </c>
      <c r="DV74" s="216">
        <f ca="1">'Balance Sheet'!DV36/'Balance Sheet'!DU36-1</f>
        <v>2.3383004540728169E-2</v>
      </c>
      <c r="DW74" s="216">
        <f ca="1">'Balance Sheet'!DW36/'Balance Sheet'!DV36-1</f>
        <v>2.6150152676772231E-2</v>
      </c>
      <c r="DX74" s="216">
        <f ca="1">'Balance Sheet'!DX36/'Balance Sheet'!DW36-1</f>
        <v>2.8213149748309574E-2</v>
      </c>
    </row>
    <row r="75" spans="1:128">
      <c r="A75" s="41" t="s">
        <v>219</v>
      </c>
      <c r="B75" s="217"/>
      <c r="C75" s="217"/>
      <c r="D75" s="217"/>
      <c r="E75" s="217"/>
      <c r="F75" s="217"/>
      <c r="G75" s="217"/>
      <c r="H75" s="217"/>
      <c r="I75" s="217"/>
      <c r="J75" s="217" t="e">
        <f>'Balance Sheet'!J39/'Balance Sheet'!I39-1</f>
        <v>#DIV/0!</v>
      </c>
      <c r="K75" s="217" t="e">
        <f>'Balance Sheet'!K39/'Balance Sheet'!J39-1</f>
        <v>#DIV/0!</v>
      </c>
      <c r="L75" s="217" t="e">
        <f>'Balance Sheet'!L39/'Balance Sheet'!K39-1</f>
        <v>#DIV/0!</v>
      </c>
      <c r="M75" s="217" t="e">
        <f>'Balance Sheet'!M39/'Balance Sheet'!L39-1</f>
        <v>#DIV/0!</v>
      </c>
      <c r="N75" s="217" t="e">
        <f>'Balance Sheet'!N39/'Balance Sheet'!M39-1</f>
        <v>#DIV/0!</v>
      </c>
      <c r="O75" s="217">
        <f>'Balance Sheet'!O39/'Balance Sheet'!N39-1</f>
        <v>-2.9403225085387508E-2</v>
      </c>
      <c r="P75" s="217">
        <f>'Balance Sheet'!P39/'Balance Sheet'!O39-1</f>
        <v>-0.1230196477919725</v>
      </c>
      <c r="Q75" s="219">
        <f>'Balance Sheet'!Q39/'Balance Sheet'!P39-1</f>
        <v>0.59680197898328302</v>
      </c>
      <c r="R75" s="219">
        <f>'Balance Sheet'!R39/'Balance Sheet'!Q39-1</f>
        <v>0.11417771314702607</v>
      </c>
      <c r="S75" s="219">
        <f>'Balance Sheet'!S39/'Balance Sheet'!R39-1</f>
        <v>0.62785546057013275</v>
      </c>
      <c r="T75" s="217">
        <f>'Balance Sheet'!T39/'Balance Sheet'!S39-1</f>
        <v>0.17711929997658826</v>
      </c>
      <c r="U75" s="216">
        <f>'Balance Sheet'!U39/'Balance Sheet'!T39-1</f>
        <v>0.19294526010140434</v>
      </c>
      <c r="V75" s="216">
        <f>'Balance Sheet'!V39/'Balance Sheet'!U39-1</f>
        <v>2.9749666269401009E-2</v>
      </c>
      <c r="W75" s="216">
        <f>'Balance Sheet'!W39/'Balance Sheet'!V39-1</f>
        <v>2.9999999999999583E-2</v>
      </c>
      <c r="X75" s="216">
        <f>'Balance Sheet'!X39/'Balance Sheet'!W39-1</f>
        <v>2.9999999999999583E-2</v>
      </c>
      <c r="Y75" s="216">
        <f>'Balance Sheet'!Y39/'Balance Sheet'!X39-1</f>
        <v>2.9999999999999805E-2</v>
      </c>
      <c r="Z75" s="216">
        <f>'Balance Sheet'!Z39/'Balance Sheet'!Y39-1</f>
        <v>2.9999999999999805E-2</v>
      </c>
      <c r="AA75" s="213"/>
      <c r="AB75" s="41" t="str">
        <f t="shared" si="47"/>
        <v>Due to banks and correspondents, % growth</v>
      </c>
      <c r="AC75" s="218"/>
      <c r="AD75" s="217" t="e">
        <f>'Balance Sheet'!AD39/'Balance Sheet'!AC39-1</f>
        <v>#DIV/0!</v>
      </c>
      <c r="AE75" s="217" t="e">
        <f>'Balance Sheet'!AE39/'Balance Sheet'!AD39-1</f>
        <v>#DIV/0!</v>
      </c>
      <c r="AF75" s="217" t="e">
        <f>'Balance Sheet'!AF39/'Balance Sheet'!AE39-1</f>
        <v>#DIV/0!</v>
      </c>
      <c r="AG75" s="217" t="e">
        <f>'Balance Sheet'!AG39/'Balance Sheet'!AF39-1</f>
        <v>#DIV/0!</v>
      </c>
      <c r="AH75" s="217" t="e">
        <f>'Balance Sheet'!AH39/'Balance Sheet'!AG39-1</f>
        <v>#DIV/0!</v>
      </c>
      <c r="AI75" s="217" t="e">
        <f>'Balance Sheet'!AI39/'Balance Sheet'!AH39-1</f>
        <v>#DIV/0!</v>
      </c>
      <c r="AJ75" s="217" t="e">
        <f>'Balance Sheet'!AJ39/'Balance Sheet'!AI39-1</f>
        <v>#DIV/0!</v>
      </c>
      <c r="AK75" s="217" t="e">
        <f>'Balance Sheet'!AK39/'Balance Sheet'!AJ39-1</f>
        <v>#DIV/0!</v>
      </c>
      <c r="AL75" s="217" t="e">
        <f>'Balance Sheet'!AL39/'Balance Sheet'!AK39-1</f>
        <v>#DIV/0!</v>
      </c>
      <c r="AM75" s="217" t="e">
        <f>'Balance Sheet'!AM39/'Balance Sheet'!AL39-1</f>
        <v>#DIV/0!</v>
      </c>
      <c r="AN75" s="217" t="e">
        <f>'Balance Sheet'!AN39/'Balance Sheet'!AM39-1</f>
        <v>#DIV/0!</v>
      </c>
      <c r="AO75" s="217" t="e">
        <f>'Balance Sheet'!AO39/'Balance Sheet'!AN39-1</f>
        <v>#DIV/0!</v>
      </c>
      <c r="AP75" s="217" t="e">
        <f>'Balance Sheet'!AP39/'Balance Sheet'!AO39-1</f>
        <v>#DIV/0!</v>
      </c>
      <c r="AQ75" s="217" t="e">
        <f>'Balance Sheet'!AQ39/'Balance Sheet'!AP39-1</f>
        <v>#DIV/0!</v>
      </c>
      <c r="AR75" s="217" t="e">
        <f>'Balance Sheet'!AR39/'Balance Sheet'!AQ39-1</f>
        <v>#DIV/0!</v>
      </c>
      <c r="AS75" s="217" t="e">
        <f>'Balance Sheet'!AS39/'Balance Sheet'!AR39-1</f>
        <v>#DIV/0!</v>
      </c>
      <c r="AT75" s="217" t="e">
        <f>'Balance Sheet'!AT39/'Balance Sheet'!AS39-1</f>
        <v>#DIV/0!</v>
      </c>
      <c r="AU75" s="217" t="e">
        <f>'Balance Sheet'!AU39/'Balance Sheet'!AT39-1</f>
        <v>#DIV/0!</v>
      </c>
      <c r="AV75" s="217" t="e">
        <f>'Balance Sheet'!AV39/'Balance Sheet'!AU39-1</f>
        <v>#DIV/0!</v>
      </c>
      <c r="AW75" s="217" t="e">
        <f>'Balance Sheet'!AW39/'Balance Sheet'!AV39-1</f>
        <v>#DIV/0!</v>
      </c>
      <c r="AX75" s="217" t="e">
        <f>'Balance Sheet'!AX39/'Balance Sheet'!AW39-1</f>
        <v>#DIV/0!</v>
      </c>
      <c r="AY75" s="217" t="e">
        <f>'Balance Sheet'!AY39/'Balance Sheet'!AX39-1</f>
        <v>#DIV/0!</v>
      </c>
      <c r="AZ75" s="217" t="e">
        <f>'Balance Sheet'!AZ39/'Balance Sheet'!AY39-1</f>
        <v>#DIV/0!</v>
      </c>
      <c r="BA75" s="217" t="e">
        <f>'Balance Sheet'!BA39/'Balance Sheet'!AZ39-1</f>
        <v>#DIV/0!</v>
      </c>
      <c r="BB75" s="217" t="e">
        <f>'Balance Sheet'!BB39/'Balance Sheet'!BA39-1</f>
        <v>#DIV/0!</v>
      </c>
      <c r="BC75" s="217" t="e">
        <f>'Balance Sheet'!BC39/'Balance Sheet'!BB39-1</f>
        <v>#DIV/0!</v>
      </c>
      <c r="BD75" s="217" t="e">
        <f>'Balance Sheet'!BD39/'Balance Sheet'!BC39-1</f>
        <v>#DIV/0!</v>
      </c>
      <c r="BE75" s="217" t="e">
        <f>'Balance Sheet'!BE39/'Balance Sheet'!BD39-1</f>
        <v>#DIV/0!</v>
      </c>
      <c r="BF75" s="217" t="e">
        <f>'Balance Sheet'!BF39/'Balance Sheet'!BE39-1</f>
        <v>#DIV/0!</v>
      </c>
      <c r="BG75" s="217" t="e">
        <f>'Balance Sheet'!BG39/'Balance Sheet'!BF39-1</f>
        <v>#DIV/0!</v>
      </c>
      <c r="BH75" s="217" t="e">
        <f>'Balance Sheet'!BH39/'Balance Sheet'!BG39-1</f>
        <v>#DIV/0!</v>
      </c>
      <c r="BI75" s="217" t="e">
        <f>'Balance Sheet'!BI39/'Balance Sheet'!BH39-1</f>
        <v>#DIV/0!</v>
      </c>
      <c r="BJ75" s="217" t="e">
        <f>'Balance Sheet'!BJ39/'Balance Sheet'!BI39-1</f>
        <v>#DIV/0!</v>
      </c>
      <c r="BK75" s="217" t="e">
        <f>'Balance Sheet'!BK39/'Balance Sheet'!BJ39-1</f>
        <v>#DIV/0!</v>
      </c>
      <c r="BL75" s="217" t="e">
        <f>'Balance Sheet'!BL39/'Balance Sheet'!BK39-1</f>
        <v>#DIV/0!</v>
      </c>
      <c r="BM75" s="217" t="e">
        <f>'Balance Sheet'!BM39/'Balance Sheet'!BL39-1</f>
        <v>#DIV/0!</v>
      </c>
      <c r="BN75" s="217" t="e">
        <f>'Balance Sheet'!BN39/'Balance Sheet'!BM39-1</f>
        <v>#DIV/0!</v>
      </c>
      <c r="BO75" s="217" t="e">
        <f>'Balance Sheet'!BO39/'Balance Sheet'!BN39-1</f>
        <v>#DIV/0!</v>
      </c>
      <c r="BP75" s="217" t="e">
        <f>'Balance Sheet'!BP39/'Balance Sheet'!BO39-1</f>
        <v>#DIV/0!</v>
      </c>
      <c r="BQ75" s="217" t="e">
        <f>'Balance Sheet'!BQ39/'Balance Sheet'!BP39-1</f>
        <v>#DIV/0!</v>
      </c>
      <c r="BR75" s="217" t="e">
        <f>'Balance Sheet'!BR39/'Balance Sheet'!BQ39-1</f>
        <v>#DIV/0!</v>
      </c>
      <c r="BS75" s="217" t="e">
        <f>'Balance Sheet'!BS39/'Balance Sheet'!BR39-1</f>
        <v>#DIV/0!</v>
      </c>
      <c r="BT75" s="217" t="e">
        <f>'Balance Sheet'!BT39/'Balance Sheet'!BS39-1</f>
        <v>#DIV/0!</v>
      </c>
      <c r="BU75" s="217" t="e">
        <f>'Balance Sheet'!BU39/'Balance Sheet'!BT39-1</f>
        <v>#DIV/0!</v>
      </c>
      <c r="BV75" s="217" t="e">
        <f>'Balance Sheet'!BV39/'Balance Sheet'!BU39-1</f>
        <v>#DIV/0!</v>
      </c>
      <c r="BW75" s="217" t="e">
        <f>'Balance Sheet'!BW39/'Balance Sheet'!BV39-1</f>
        <v>#DIV/0!</v>
      </c>
      <c r="BX75" s="217" t="e">
        <f>'Balance Sheet'!BX39/'Balance Sheet'!BW39-1</f>
        <v>#DIV/0!</v>
      </c>
      <c r="BY75" s="217" t="e">
        <f>'Balance Sheet'!BY39/'Balance Sheet'!BX39-1</f>
        <v>#DIV/0!</v>
      </c>
      <c r="BZ75" s="217">
        <f>'Balance Sheet'!BZ39/'Balance Sheet'!BY39-1</f>
        <v>-0.31997466969930644</v>
      </c>
      <c r="CA75" s="217">
        <f>'Balance Sheet'!CA39/'Balance Sheet'!BZ39-1</f>
        <v>-0.16963079641417245</v>
      </c>
      <c r="CB75" s="217">
        <f>'Balance Sheet'!CB39/'Balance Sheet'!CA39-1</f>
        <v>0.32523719829008235</v>
      </c>
      <c r="CC75" s="217">
        <f>'Balance Sheet'!CC39/'Balance Sheet'!CB39-1</f>
        <v>-0.35297953853853536</v>
      </c>
      <c r="CD75" s="217">
        <f>'Balance Sheet'!CD39/'Balance Sheet'!CC39-1</f>
        <v>7.073830900721112E-2</v>
      </c>
      <c r="CE75" s="217">
        <f>'Balance Sheet'!CE39/'Balance Sheet'!CD39-1</f>
        <v>5.6677455629840612E-2</v>
      </c>
      <c r="CF75" s="217">
        <f>'Balance Sheet'!CF39/'Balance Sheet'!CE39-1</f>
        <v>0.32585199324939884</v>
      </c>
      <c r="CG75" s="217">
        <f>'Balance Sheet'!CG39/'Balance Sheet'!CF39-1</f>
        <v>-1.7055401862785091E-2</v>
      </c>
      <c r="CH75" s="217">
        <f>'Balance Sheet'!CH39/'Balance Sheet'!CG39-1</f>
        <v>-2.7249212034205827E-2</v>
      </c>
      <c r="CI75" s="217">
        <f>'Balance Sheet'!CI39/'Balance Sheet'!CH39-1</f>
        <v>2.4975024488939956E-2</v>
      </c>
      <c r="CJ75" s="217">
        <f>'Balance Sheet'!CJ39/'Balance Sheet'!CI39-1</f>
        <v>-0.10515884663206743</v>
      </c>
      <c r="CK75" s="217">
        <f>'Balance Sheet'!CK39/'Balance Sheet'!CJ39-1</f>
        <v>0.2030134544498865</v>
      </c>
      <c r="CL75" s="217">
        <f>'Balance Sheet'!CL39/'Balance Sheet'!CK39-1</f>
        <v>3.3851703826763835E-3</v>
      </c>
      <c r="CM75" s="217">
        <f>'Balance Sheet'!CM39/'Balance Sheet'!CL39-1</f>
        <v>9.4034581905412917E-2</v>
      </c>
      <c r="CN75" s="217">
        <f>'Balance Sheet'!CN39/'Balance Sheet'!CM39-1</f>
        <v>0.20915464783914017</v>
      </c>
      <c r="CO75" s="217">
        <f>'Balance Sheet'!CO39/'Balance Sheet'!CN39-1</f>
        <v>0.10100633745880461</v>
      </c>
      <c r="CP75" s="217">
        <f>'Balance Sheet'!CP39/'Balance Sheet'!CO39-1</f>
        <v>-9.9330305430764487E-2</v>
      </c>
      <c r="CQ75" s="217">
        <f>'Balance Sheet'!CQ39/'Balance Sheet'!CP39-1</f>
        <v>-4.2627080420030938E-2</v>
      </c>
      <c r="CR75" s="217">
        <f>'Balance Sheet'!CR39/'Balance Sheet'!CQ39-1</f>
        <v>0.17359421331031877</v>
      </c>
      <c r="CS75" s="217">
        <f>'Balance Sheet'!CS39/'Balance Sheet'!CR39-1</f>
        <v>6.8672277951065119E-2</v>
      </c>
      <c r="CT75" s="217">
        <f>'Balance Sheet'!CT39/'Balance Sheet'!CS39-1</f>
        <v>0.10027372713954663</v>
      </c>
      <c r="CU75" s="217">
        <f>'Balance Sheet'!CU39/'Balance Sheet'!CT39-1</f>
        <v>0.38150625944904015</v>
      </c>
      <c r="CV75" s="217">
        <f>'Balance Sheet'!CV39/'Balance Sheet'!CU39-1</f>
        <v>2.1153101032069799E-3</v>
      </c>
      <c r="CW75" s="217">
        <f>'Balance Sheet'!CW39/'Balance Sheet'!CV39-1</f>
        <v>0.10851510243564322</v>
      </c>
      <c r="CX75" s="217">
        <f>'Balance Sheet'!CX39/'Balance Sheet'!CW39-1</f>
        <v>7.2653875772236809E-2</v>
      </c>
      <c r="CY75" s="217">
        <f>'Balance Sheet'!CY39/'Balance Sheet'!CX39-1</f>
        <v>0.1254347421953772</v>
      </c>
      <c r="CZ75" s="217">
        <f>'Balance Sheet'!CZ39/'Balance Sheet'!CY39-1</f>
        <v>-0.12037220889508282</v>
      </c>
      <c r="DA75" s="216">
        <v>0.1</v>
      </c>
      <c r="DB75" s="216">
        <v>0.05</v>
      </c>
      <c r="DC75" s="216">
        <v>2.5000000000000001E-2</v>
      </c>
      <c r="DD75" s="216">
        <f t="shared" ref="DD75:DX75" si="48">(1+DD$17)*(1+DD$14)-1</f>
        <v>7.6615015110583773E-3</v>
      </c>
      <c r="DE75" s="216">
        <f t="shared" si="48"/>
        <v>7.6615015110583773E-3</v>
      </c>
      <c r="DF75" s="216">
        <f t="shared" si="48"/>
        <v>7.1724639967380988E-3</v>
      </c>
      <c r="DG75" s="216">
        <f t="shared" si="48"/>
        <v>7.1724639967380988E-3</v>
      </c>
      <c r="DH75" s="216">
        <f t="shared" si="48"/>
        <v>7.4170717777328754E-3</v>
      </c>
      <c r="DI75" s="216">
        <f t="shared" si="48"/>
        <v>7.4170717777328754E-3</v>
      </c>
      <c r="DJ75" s="216">
        <f t="shared" si="48"/>
        <v>7.4170717777328754E-3</v>
      </c>
      <c r="DK75" s="216">
        <f t="shared" si="48"/>
        <v>7.4170717777328754E-3</v>
      </c>
      <c r="DL75" s="216">
        <f t="shared" si="48"/>
        <v>7.4170717777328754E-3</v>
      </c>
      <c r="DM75" s="216">
        <f t="shared" si="48"/>
        <v>7.4170717777328754E-3</v>
      </c>
      <c r="DN75" s="216">
        <f t="shared" si="48"/>
        <v>7.4170717777328754E-3</v>
      </c>
      <c r="DO75" s="216">
        <f t="shared" si="48"/>
        <v>7.4170717777328754E-3</v>
      </c>
      <c r="DP75" s="216">
        <f t="shared" si="48"/>
        <v>7.4170717777328754E-3</v>
      </c>
      <c r="DQ75" s="216">
        <f t="shared" si="48"/>
        <v>7.4170717777328754E-3</v>
      </c>
      <c r="DR75" s="216">
        <f t="shared" si="48"/>
        <v>7.4170717777328754E-3</v>
      </c>
      <c r="DS75" s="216">
        <f t="shared" si="48"/>
        <v>7.4170717777328754E-3</v>
      </c>
      <c r="DT75" s="216">
        <f t="shared" si="48"/>
        <v>7.4170717777328754E-3</v>
      </c>
      <c r="DU75" s="216">
        <f t="shared" si="48"/>
        <v>7.4170717777328754E-3</v>
      </c>
      <c r="DV75" s="216">
        <f t="shared" si="48"/>
        <v>7.4170717777328754E-3</v>
      </c>
      <c r="DW75" s="216">
        <f t="shared" si="48"/>
        <v>7.4170717777328754E-3</v>
      </c>
      <c r="DX75" s="216">
        <f t="shared" si="48"/>
        <v>7.4170717777328754E-3</v>
      </c>
    </row>
    <row r="76" spans="1:128">
      <c r="A76" s="41" t="s">
        <v>218</v>
      </c>
      <c r="B76" s="217"/>
      <c r="C76" s="217"/>
      <c r="D76" s="217"/>
      <c r="E76" s="217"/>
      <c r="F76" s="217"/>
      <c r="G76" s="217"/>
      <c r="H76" s="217"/>
      <c r="I76" s="217"/>
      <c r="J76" s="217" t="e">
        <f>'Balance Sheet'!J40/'Balance Sheet'!J15</f>
        <v>#DIV/0!</v>
      </c>
      <c r="K76" s="217" t="e">
        <f>'Balance Sheet'!K40/'Balance Sheet'!K15</f>
        <v>#DIV/0!</v>
      </c>
      <c r="L76" s="217" t="e">
        <f>'Balance Sheet'!L40/'Balance Sheet'!L15</f>
        <v>#DIV/0!</v>
      </c>
      <c r="M76" s="217" t="e">
        <f>'Balance Sheet'!M40/'Balance Sheet'!M15</f>
        <v>#DIV/0!</v>
      </c>
      <c r="N76" s="217">
        <f>'Balance Sheet'!N40/'Balance Sheet'!N15</f>
        <v>1</v>
      </c>
      <c r="O76" s="217">
        <f>'Balance Sheet'!O40/'Balance Sheet'!O15</f>
        <v>1</v>
      </c>
      <c r="P76" s="217">
        <f>'Balance Sheet'!P40/'Balance Sheet'!P15</f>
        <v>0.99999999983791299</v>
      </c>
      <c r="Q76" s="219">
        <f>'Balance Sheet'!Q40/'Balance Sheet'!Q15</f>
        <v>1</v>
      </c>
      <c r="R76" s="219">
        <f>'Balance Sheet'!R40/'Balance Sheet'!R15</f>
        <v>0.99999999985226251</v>
      </c>
      <c r="S76" s="219">
        <f>'Balance Sheet'!S40/'Balance Sheet'!S15</f>
        <v>1</v>
      </c>
      <c r="T76" s="217">
        <f>'Balance Sheet'!T40/'Balance Sheet'!T15</f>
        <v>1</v>
      </c>
      <c r="U76" s="216">
        <f>'Balance Sheet'!U40/'Balance Sheet'!U15</f>
        <v>1</v>
      </c>
      <c r="V76" s="216">
        <f>'Balance Sheet'!V40/'Balance Sheet'!V15</f>
        <v>1</v>
      </c>
      <c r="W76" s="216">
        <f>'Balance Sheet'!W40/'Balance Sheet'!W15</f>
        <v>1</v>
      </c>
      <c r="X76" s="216">
        <f>'Balance Sheet'!X40/'Balance Sheet'!X15</f>
        <v>1</v>
      </c>
      <c r="Y76" s="216">
        <f>'Balance Sheet'!Y40/'Balance Sheet'!Y15</f>
        <v>1</v>
      </c>
      <c r="Z76" s="216">
        <f>'Balance Sheet'!Z40/'Balance Sheet'!Z15</f>
        <v>1</v>
      </c>
      <c r="AA76" s="213"/>
      <c r="AB76" s="41" t="str">
        <f t="shared" si="47"/>
        <v>Acceptances outstanding, % of due from customers on acceptances</v>
      </c>
      <c r="AC76" s="218"/>
      <c r="AD76" s="217" t="e">
        <f>'Balance Sheet'!AD40/'Balance Sheet'!AD15</f>
        <v>#DIV/0!</v>
      </c>
      <c r="AE76" s="217" t="e">
        <f>'Balance Sheet'!AE40/'Balance Sheet'!AE15</f>
        <v>#DIV/0!</v>
      </c>
      <c r="AF76" s="217" t="e">
        <f>'Balance Sheet'!AF40/'Balance Sheet'!AF15</f>
        <v>#DIV/0!</v>
      </c>
      <c r="AG76" s="217" t="e">
        <f>'Balance Sheet'!AG40/'Balance Sheet'!AG15</f>
        <v>#DIV/0!</v>
      </c>
      <c r="AH76" s="217" t="e">
        <f>'Balance Sheet'!AH40/'Balance Sheet'!AH15</f>
        <v>#DIV/0!</v>
      </c>
      <c r="AI76" s="217" t="e">
        <f>'Balance Sheet'!AI40/'Balance Sheet'!AI15</f>
        <v>#DIV/0!</v>
      </c>
      <c r="AJ76" s="217" t="e">
        <f>'Balance Sheet'!AJ40/'Balance Sheet'!AJ15</f>
        <v>#DIV/0!</v>
      </c>
      <c r="AK76" s="217" t="e">
        <f>'Balance Sheet'!AK40/'Balance Sheet'!AK15</f>
        <v>#DIV/0!</v>
      </c>
      <c r="AL76" s="217" t="e">
        <f>'Balance Sheet'!AL40/'Balance Sheet'!AL15</f>
        <v>#DIV/0!</v>
      </c>
      <c r="AM76" s="217" t="e">
        <f>'Balance Sheet'!AM40/'Balance Sheet'!AM15</f>
        <v>#DIV/0!</v>
      </c>
      <c r="AN76" s="217" t="e">
        <f>'Balance Sheet'!AN40/'Balance Sheet'!AN15</f>
        <v>#DIV/0!</v>
      </c>
      <c r="AO76" s="217" t="e">
        <f>'Balance Sheet'!AO40/'Balance Sheet'!AO15</f>
        <v>#DIV/0!</v>
      </c>
      <c r="AP76" s="217" t="e">
        <f>'Balance Sheet'!AP40/'Balance Sheet'!AP15</f>
        <v>#DIV/0!</v>
      </c>
      <c r="AQ76" s="217" t="e">
        <f>'Balance Sheet'!AQ40/'Balance Sheet'!AQ15</f>
        <v>#DIV/0!</v>
      </c>
      <c r="AR76" s="217" t="e">
        <f>'Balance Sheet'!AR40/'Balance Sheet'!AR15</f>
        <v>#DIV/0!</v>
      </c>
      <c r="AS76" s="217" t="e">
        <f>'Balance Sheet'!AS40/'Balance Sheet'!AS15</f>
        <v>#DIV/0!</v>
      </c>
      <c r="AT76" s="217" t="e">
        <f>'Balance Sheet'!AT40/'Balance Sheet'!AT15</f>
        <v>#DIV/0!</v>
      </c>
      <c r="AU76" s="217" t="e">
        <f>'Balance Sheet'!AU40/'Balance Sheet'!AU15</f>
        <v>#DIV/0!</v>
      </c>
      <c r="AV76" s="217" t="e">
        <f>'Balance Sheet'!AV40/'Balance Sheet'!AV15</f>
        <v>#DIV/0!</v>
      </c>
      <c r="AW76" s="217" t="e">
        <f>'Balance Sheet'!AW40/'Balance Sheet'!AW15</f>
        <v>#DIV/0!</v>
      </c>
      <c r="AX76" s="217" t="e">
        <f>'Balance Sheet'!AX40/'Balance Sheet'!AX15</f>
        <v>#DIV/0!</v>
      </c>
      <c r="AY76" s="217" t="e">
        <f>'Balance Sheet'!AY40/'Balance Sheet'!AY15</f>
        <v>#DIV/0!</v>
      </c>
      <c r="AZ76" s="217" t="e">
        <f>'Balance Sheet'!AZ40/'Balance Sheet'!AZ15</f>
        <v>#DIV/0!</v>
      </c>
      <c r="BA76" s="217" t="e">
        <f>'Balance Sheet'!BA40/'Balance Sheet'!BA15</f>
        <v>#DIV/0!</v>
      </c>
      <c r="BB76" s="217" t="e">
        <f>'Balance Sheet'!BB40/'Balance Sheet'!BB15</f>
        <v>#DIV/0!</v>
      </c>
      <c r="BC76" s="217" t="e">
        <f>'Balance Sheet'!BC40/'Balance Sheet'!BC15</f>
        <v>#DIV/0!</v>
      </c>
      <c r="BD76" s="217" t="e">
        <f>'Balance Sheet'!BD40/'Balance Sheet'!BD15</f>
        <v>#DIV/0!</v>
      </c>
      <c r="BE76" s="217" t="e">
        <f>'Balance Sheet'!BE40/'Balance Sheet'!BE15</f>
        <v>#DIV/0!</v>
      </c>
      <c r="BF76" s="217" t="e">
        <f>'Balance Sheet'!BF40/'Balance Sheet'!BF15</f>
        <v>#DIV/0!</v>
      </c>
      <c r="BG76" s="217" t="e">
        <f>'Balance Sheet'!BG40/'Balance Sheet'!BG15</f>
        <v>#DIV/0!</v>
      </c>
      <c r="BH76" s="217" t="e">
        <f>'Balance Sheet'!BH40/'Balance Sheet'!BH15</f>
        <v>#DIV/0!</v>
      </c>
      <c r="BI76" s="217" t="e">
        <f>'Balance Sheet'!BI40/'Balance Sheet'!BI15</f>
        <v>#DIV/0!</v>
      </c>
      <c r="BJ76" s="217" t="e">
        <f>'Balance Sheet'!BJ40/'Balance Sheet'!BJ15</f>
        <v>#DIV/0!</v>
      </c>
      <c r="BK76" s="217" t="e">
        <f>'Balance Sheet'!BK40/'Balance Sheet'!BK15</f>
        <v>#DIV/0!</v>
      </c>
      <c r="BL76" s="217" t="e">
        <f>'Balance Sheet'!BL40/'Balance Sheet'!BL15</f>
        <v>#DIV/0!</v>
      </c>
      <c r="BM76" s="217" t="e">
        <f>'Balance Sheet'!BM40/'Balance Sheet'!BM15</f>
        <v>#DIV/0!</v>
      </c>
      <c r="BN76" s="217" t="e">
        <f>'Balance Sheet'!BN40/'Balance Sheet'!BN15</f>
        <v>#DIV/0!</v>
      </c>
      <c r="BO76" s="217" t="e">
        <f>'Balance Sheet'!BO40/'Balance Sheet'!BO15</f>
        <v>#DIV/0!</v>
      </c>
      <c r="BP76" s="217" t="e">
        <f>'Balance Sheet'!BP40/'Balance Sheet'!BP15</f>
        <v>#DIV/0!</v>
      </c>
      <c r="BQ76" s="217" t="e">
        <f>'Balance Sheet'!BQ40/'Balance Sheet'!BQ15</f>
        <v>#DIV/0!</v>
      </c>
      <c r="BR76" s="217" t="e">
        <f>'Balance Sheet'!BR40/'Balance Sheet'!BR15</f>
        <v>#DIV/0!</v>
      </c>
      <c r="BS76" s="217" t="e">
        <f>'Balance Sheet'!BS40/'Balance Sheet'!BS15</f>
        <v>#DIV/0!</v>
      </c>
      <c r="BT76" s="217" t="e">
        <f>'Balance Sheet'!BT40/'Balance Sheet'!BT15</f>
        <v>#DIV/0!</v>
      </c>
      <c r="BU76" s="217" t="e">
        <f>'Balance Sheet'!BU40/'Balance Sheet'!BU15</f>
        <v>#DIV/0!</v>
      </c>
      <c r="BV76" s="217" t="e">
        <f>'Balance Sheet'!BV40/'Balance Sheet'!BV15</f>
        <v>#DIV/0!</v>
      </c>
      <c r="BW76" s="217" t="e">
        <f>'Balance Sheet'!BW40/'Balance Sheet'!BW15</f>
        <v>#DIV/0!</v>
      </c>
      <c r="BX76" s="217" t="e">
        <f>'Balance Sheet'!BX40/'Balance Sheet'!BX15</f>
        <v>#DIV/0!</v>
      </c>
      <c r="BY76" s="217">
        <f>'Balance Sheet'!BY40/'Balance Sheet'!BY15</f>
        <v>1</v>
      </c>
      <c r="BZ76" s="217">
        <f>'Balance Sheet'!BZ40/'Balance Sheet'!BZ15</f>
        <v>0.99999999993726718</v>
      </c>
      <c r="CA76" s="217">
        <f>'Balance Sheet'!CA40/'Balance Sheet'!CA15</f>
        <v>1</v>
      </c>
      <c r="CB76" s="217">
        <f>'Balance Sheet'!CB40/'Balance Sheet'!CB15</f>
        <v>1</v>
      </c>
      <c r="CC76" s="217">
        <f>'Balance Sheet'!CC40/'Balance Sheet'!CC15</f>
        <v>0.99999999987308774</v>
      </c>
      <c r="CD76" s="217">
        <f>'Balance Sheet'!CD40/'Balance Sheet'!CD15</f>
        <v>1</v>
      </c>
      <c r="CE76" s="217">
        <f>'Balance Sheet'!CE40/'Balance Sheet'!CE15</f>
        <v>1</v>
      </c>
      <c r="CF76" s="217">
        <f>'Balance Sheet'!CF40/'Balance Sheet'!CF15</f>
        <v>1</v>
      </c>
      <c r="CG76" s="217">
        <f>'Balance Sheet'!CG40/'Balance Sheet'!CG15</f>
        <v>1</v>
      </c>
      <c r="CH76" s="217">
        <f>'Balance Sheet'!CH40/'Balance Sheet'!CH15</f>
        <v>1.0000000001528586</v>
      </c>
      <c r="CI76" s="217">
        <f>'Balance Sheet'!CI40/'Balance Sheet'!CI15</f>
        <v>0.99999999988127064</v>
      </c>
      <c r="CJ76" s="217">
        <f>'Balance Sheet'!CJ40/'Balance Sheet'!CJ15</f>
        <v>0.99999999983791299</v>
      </c>
      <c r="CK76" s="217">
        <f>'Balance Sheet'!CK40/'Balance Sheet'!CK15</f>
        <v>1</v>
      </c>
      <c r="CL76" s="217">
        <f>'Balance Sheet'!CL40/'Balance Sheet'!CL15</f>
        <v>0.99999999984923105</v>
      </c>
      <c r="CM76" s="217">
        <f>'Balance Sheet'!CM40/'Balance Sheet'!CM15</f>
        <v>0.99999999959506136</v>
      </c>
      <c r="CN76" s="217">
        <f>'Balance Sheet'!CN40/'Balance Sheet'!CN15</f>
        <v>1</v>
      </c>
      <c r="CO76" s="217">
        <f>'Balance Sheet'!CO40/'Balance Sheet'!CO15</f>
        <v>1.0000000001931404</v>
      </c>
      <c r="CP76" s="217">
        <f>'Balance Sheet'!CP40/'Balance Sheet'!CP15</f>
        <v>1</v>
      </c>
      <c r="CQ76" s="217">
        <f>'Balance Sheet'!CQ40/'Balance Sheet'!CQ15</f>
        <v>0.99999999984521204</v>
      </c>
      <c r="CR76" s="217">
        <f>'Balance Sheet'!CR40/'Balance Sheet'!CR15</f>
        <v>0.99999999985226251</v>
      </c>
      <c r="CS76" s="217">
        <f>'Balance Sheet'!CS40/'Balance Sheet'!CS15</f>
        <v>1</v>
      </c>
      <c r="CT76" s="217">
        <f>'Balance Sheet'!CT40/'Balance Sheet'!CT15</f>
        <v>1</v>
      </c>
      <c r="CU76" s="217">
        <f>'Balance Sheet'!CU40/'Balance Sheet'!CU15</f>
        <v>1</v>
      </c>
      <c r="CV76" s="217">
        <f>'Balance Sheet'!CV40/'Balance Sheet'!CV15</f>
        <v>1</v>
      </c>
      <c r="CW76" s="217">
        <f>'Balance Sheet'!CW40/'Balance Sheet'!CW15</f>
        <v>1</v>
      </c>
      <c r="CX76" s="217">
        <f>'Balance Sheet'!CX40/'Balance Sheet'!CX15</f>
        <v>1</v>
      </c>
      <c r="CY76" s="217">
        <f>'Balance Sheet'!CY40/'Balance Sheet'!CY15</f>
        <v>1</v>
      </c>
      <c r="CZ76" s="217">
        <f>'Balance Sheet'!CZ40/'Balance Sheet'!CZ15</f>
        <v>1</v>
      </c>
      <c r="DA76" s="216">
        <v>1</v>
      </c>
      <c r="DB76" s="216">
        <v>1</v>
      </c>
      <c r="DC76" s="216">
        <v>1</v>
      </c>
      <c r="DD76" s="216">
        <v>1</v>
      </c>
      <c r="DE76" s="216">
        <v>1</v>
      </c>
      <c r="DF76" s="216">
        <v>1</v>
      </c>
      <c r="DG76" s="216">
        <v>1</v>
      </c>
      <c r="DH76" s="216">
        <v>1</v>
      </c>
      <c r="DI76" s="216">
        <v>1</v>
      </c>
      <c r="DJ76" s="216">
        <v>1</v>
      </c>
      <c r="DK76" s="216">
        <v>1</v>
      </c>
      <c r="DL76" s="216">
        <v>1</v>
      </c>
      <c r="DM76" s="216">
        <v>1</v>
      </c>
      <c r="DN76" s="216">
        <v>1</v>
      </c>
      <c r="DO76" s="216">
        <v>1</v>
      </c>
      <c r="DP76" s="216">
        <v>1</v>
      </c>
      <c r="DQ76" s="216">
        <v>1</v>
      </c>
      <c r="DR76" s="216">
        <v>1</v>
      </c>
      <c r="DS76" s="216">
        <v>1</v>
      </c>
      <c r="DT76" s="216">
        <v>1</v>
      </c>
      <c r="DU76" s="216">
        <v>1</v>
      </c>
      <c r="DV76" s="216">
        <v>1</v>
      </c>
      <c r="DW76" s="216">
        <v>1</v>
      </c>
      <c r="DX76" s="216">
        <v>1</v>
      </c>
    </row>
    <row r="77" spans="1:128">
      <c r="A77" s="41" t="s">
        <v>217</v>
      </c>
      <c r="B77" s="217"/>
      <c r="C77" s="217"/>
      <c r="D77" s="217"/>
      <c r="E77" s="217"/>
      <c r="F77" s="217"/>
      <c r="G77" s="217"/>
      <c r="H77" s="217"/>
      <c r="I77" s="217"/>
      <c r="J77" s="217" t="e">
        <f>'Balance Sheet'!J41/'Balance Sheet'!I41-1</f>
        <v>#DIV/0!</v>
      </c>
      <c r="K77" s="217" t="e">
        <f>'Balance Sheet'!K41/'Balance Sheet'!J41-1</f>
        <v>#DIV/0!</v>
      </c>
      <c r="L77" s="217" t="e">
        <f>'Balance Sheet'!L41/'Balance Sheet'!K41-1</f>
        <v>#DIV/0!</v>
      </c>
      <c r="M77" s="217" t="e">
        <f>'Balance Sheet'!M41/'Balance Sheet'!L41-1</f>
        <v>#DIV/0!</v>
      </c>
      <c r="N77" s="217" t="e">
        <f>'Balance Sheet'!N41/'Balance Sheet'!M41-1</f>
        <v>#DIV/0!</v>
      </c>
      <c r="O77" s="217">
        <f>'Balance Sheet'!O41/'Balance Sheet'!N41-1</f>
        <v>1.2552075608157494</v>
      </c>
      <c r="P77" s="217">
        <f>'Balance Sheet'!P41/'Balance Sheet'!O41-1</f>
        <v>0.27379373198765111</v>
      </c>
      <c r="Q77" s="219">
        <f>'Balance Sheet'!Q41/'Balance Sheet'!P41-1</f>
        <v>0.14959417618019022</v>
      </c>
      <c r="R77" s="219">
        <f>'Balance Sheet'!R41/'Balance Sheet'!Q41-1</f>
        <v>0.16210538935354268</v>
      </c>
      <c r="S77" s="219">
        <f>'Balance Sheet'!S41/'Balance Sheet'!R41-1</f>
        <v>5.7843726107497107E-2</v>
      </c>
      <c r="T77" s="217">
        <f>'Balance Sheet'!T41/'Balance Sheet'!S41-1</f>
        <v>8.009790541082995E-2</v>
      </c>
      <c r="U77" s="216">
        <f>'Balance Sheet'!U41/'Balance Sheet'!T41-1</f>
        <v>3.2590089289722624E-2</v>
      </c>
      <c r="V77" s="216">
        <f>'Balance Sheet'!V41/'Balance Sheet'!U41-1</f>
        <v>2.9749666269400787E-2</v>
      </c>
      <c r="W77" s="216">
        <f>'Balance Sheet'!W41/'Balance Sheet'!V41-1</f>
        <v>2.9999999999999583E-2</v>
      </c>
      <c r="X77" s="216">
        <f>'Balance Sheet'!X41/'Balance Sheet'!W41-1</f>
        <v>2.9999999999999583E-2</v>
      </c>
      <c r="Y77" s="216">
        <f>'Balance Sheet'!Y41/'Balance Sheet'!X41-1</f>
        <v>2.9999999999999583E-2</v>
      </c>
      <c r="Z77" s="216">
        <f>'Balance Sheet'!Z41/'Balance Sheet'!Y41-1</f>
        <v>2.9999999999999583E-2</v>
      </c>
      <c r="AA77" s="213"/>
      <c r="AB77" s="41" t="str">
        <f t="shared" si="47"/>
        <v>Bonds and subordinated debt, % growth</v>
      </c>
      <c r="AC77" s="218">
        <v>0</v>
      </c>
      <c r="AD77" s="217" t="e">
        <f>'Balance Sheet'!AD41/'Balance Sheet'!AC41-1</f>
        <v>#DIV/0!</v>
      </c>
      <c r="AE77" s="217" t="e">
        <f>'Balance Sheet'!AE41/'Balance Sheet'!AD41-1</f>
        <v>#DIV/0!</v>
      </c>
      <c r="AF77" s="217" t="e">
        <f>'Balance Sheet'!AF41/'Balance Sheet'!AE41-1</f>
        <v>#DIV/0!</v>
      </c>
      <c r="AG77" s="217" t="e">
        <f>'Balance Sheet'!AG41/'Balance Sheet'!AF41-1</f>
        <v>#DIV/0!</v>
      </c>
      <c r="AH77" s="217" t="e">
        <f>'Balance Sheet'!AH41/'Balance Sheet'!AG41-1</f>
        <v>#DIV/0!</v>
      </c>
      <c r="AI77" s="217" t="e">
        <f>'Balance Sheet'!AI41/'Balance Sheet'!AH41-1</f>
        <v>#DIV/0!</v>
      </c>
      <c r="AJ77" s="217" t="e">
        <f>'Balance Sheet'!AJ41/'Balance Sheet'!AI41-1</f>
        <v>#DIV/0!</v>
      </c>
      <c r="AK77" s="217" t="e">
        <f>'Balance Sheet'!AK41/'Balance Sheet'!AJ41-1</f>
        <v>#DIV/0!</v>
      </c>
      <c r="AL77" s="217" t="e">
        <f>'Balance Sheet'!AL41/'Balance Sheet'!AK41-1</f>
        <v>#DIV/0!</v>
      </c>
      <c r="AM77" s="217" t="e">
        <f>'Balance Sheet'!AM41/'Balance Sheet'!AL41-1</f>
        <v>#DIV/0!</v>
      </c>
      <c r="AN77" s="217" t="e">
        <f>'Balance Sheet'!AN41/'Balance Sheet'!AM41-1</f>
        <v>#DIV/0!</v>
      </c>
      <c r="AO77" s="217" t="e">
        <f>'Balance Sheet'!AO41/'Balance Sheet'!AN41-1</f>
        <v>#DIV/0!</v>
      </c>
      <c r="AP77" s="217" t="e">
        <f>'Balance Sheet'!AP41/'Balance Sheet'!AO41-1</f>
        <v>#DIV/0!</v>
      </c>
      <c r="AQ77" s="217" t="e">
        <f>'Balance Sheet'!AQ41/'Balance Sheet'!AP41-1</f>
        <v>#DIV/0!</v>
      </c>
      <c r="AR77" s="217" t="e">
        <f>'Balance Sheet'!AR41/'Balance Sheet'!AQ41-1</f>
        <v>#DIV/0!</v>
      </c>
      <c r="AS77" s="217" t="e">
        <f>'Balance Sheet'!AS41/'Balance Sheet'!AR41-1</f>
        <v>#DIV/0!</v>
      </c>
      <c r="AT77" s="217" t="e">
        <f>'Balance Sheet'!AT41/'Balance Sheet'!AS41-1</f>
        <v>#DIV/0!</v>
      </c>
      <c r="AU77" s="217" t="e">
        <f>'Balance Sheet'!AU41/'Balance Sheet'!AT41-1</f>
        <v>#DIV/0!</v>
      </c>
      <c r="AV77" s="217" t="e">
        <f>'Balance Sheet'!AV41/'Balance Sheet'!AU41-1</f>
        <v>#DIV/0!</v>
      </c>
      <c r="AW77" s="217" t="e">
        <f>'Balance Sheet'!AW41/'Balance Sheet'!AV41-1</f>
        <v>#DIV/0!</v>
      </c>
      <c r="AX77" s="217" t="e">
        <f>'Balance Sheet'!AX41/'Balance Sheet'!AW41-1</f>
        <v>#DIV/0!</v>
      </c>
      <c r="AY77" s="217" t="e">
        <f>'Balance Sheet'!AY41/'Balance Sheet'!AX41-1</f>
        <v>#DIV/0!</v>
      </c>
      <c r="AZ77" s="217" t="e">
        <f>'Balance Sheet'!AZ41/'Balance Sheet'!AY41-1</f>
        <v>#DIV/0!</v>
      </c>
      <c r="BA77" s="217" t="e">
        <f>'Balance Sheet'!BA41/'Balance Sheet'!AZ41-1</f>
        <v>#DIV/0!</v>
      </c>
      <c r="BB77" s="217" t="e">
        <f>'Balance Sheet'!BB41/'Balance Sheet'!BA41-1</f>
        <v>#DIV/0!</v>
      </c>
      <c r="BC77" s="217" t="e">
        <f>'Balance Sheet'!BC41/'Balance Sheet'!BB41-1</f>
        <v>#DIV/0!</v>
      </c>
      <c r="BD77" s="217" t="e">
        <f>'Balance Sheet'!BD41/'Balance Sheet'!BC41-1</f>
        <v>#DIV/0!</v>
      </c>
      <c r="BE77" s="217" t="e">
        <f>'Balance Sheet'!BE41/'Balance Sheet'!BD41-1</f>
        <v>#DIV/0!</v>
      </c>
      <c r="BF77" s="217" t="e">
        <f>'Balance Sheet'!BF41/'Balance Sheet'!BE41-1</f>
        <v>#DIV/0!</v>
      </c>
      <c r="BG77" s="217" t="e">
        <f>'Balance Sheet'!BG41/'Balance Sheet'!BF41-1</f>
        <v>#DIV/0!</v>
      </c>
      <c r="BH77" s="217" t="e">
        <f>'Balance Sheet'!BH41/'Balance Sheet'!BG41-1</f>
        <v>#DIV/0!</v>
      </c>
      <c r="BI77" s="217" t="e">
        <f>'Balance Sheet'!BI41/'Balance Sheet'!BH41-1</f>
        <v>#DIV/0!</v>
      </c>
      <c r="BJ77" s="217" t="e">
        <f>'Balance Sheet'!BJ41/'Balance Sheet'!BI41-1</f>
        <v>#DIV/0!</v>
      </c>
      <c r="BK77" s="217" t="e">
        <f>'Balance Sheet'!BK41/'Balance Sheet'!BJ41-1</f>
        <v>#DIV/0!</v>
      </c>
      <c r="BL77" s="217" t="e">
        <f>'Balance Sheet'!BL41/'Balance Sheet'!BK41-1</f>
        <v>#DIV/0!</v>
      </c>
      <c r="BM77" s="217" t="e">
        <f>'Balance Sheet'!BM41/'Balance Sheet'!BL41-1</f>
        <v>#DIV/0!</v>
      </c>
      <c r="BN77" s="217" t="e">
        <f>'Balance Sheet'!BN41/'Balance Sheet'!BM41-1</f>
        <v>#DIV/0!</v>
      </c>
      <c r="BO77" s="217" t="e">
        <f>'Balance Sheet'!BO41/'Balance Sheet'!BN41-1</f>
        <v>#DIV/0!</v>
      </c>
      <c r="BP77" s="217" t="e">
        <f>'Balance Sheet'!BP41/'Balance Sheet'!BO41-1</f>
        <v>#DIV/0!</v>
      </c>
      <c r="BQ77" s="217" t="e">
        <f>'Balance Sheet'!BQ41/'Balance Sheet'!BP41-1</f>
        <v>#DIV/0!</v>
      </c>
      <c r="BR77" s="217" t="e">
        <f>'Balance Sheet'!BR41/'Balance Sheet'!BQ41-1</f>
        <v>#DIV/0!</v>
      </c>
      <c r="BS77" s="217" t="e">
        <f>'Balance Sheet'!BS41/'Balance Sheet'!BR41-1</f>
        <v>#DIV/0!</v>
      </c>
      <c r="BT77" s="217" t="e">
        <f>'Balance Sheet'!BT41/'Balance Sheet'!BS41-1</f>
        <v>#DIV/0!</v>
      </c>
      <c r="BU77" s="217" t="e">
        <f>'Balance Sheet'!BU41/'Balance Sheet'!BT41-1</f>
        <v>#DIV/0!</v>
      </c>
      <c r="BV77" s="217" t="e">
        <f>'Balance Sheet'!BV41/'Balance Sheet'!BU41-1</f>
        <v>#DIV/0!</v>
      </c>
      <c r="BW77" s="217" t="e">
        <f>'Balance Sheet'!BW41/'Balance Sheet'!BV41-1</f>
        <v>#DIV/0!</v>
      </c>
      <c r="BX77" s="217" t="e">
        <f>'Balance Sheet'!BX41/'Balance Sheet'!BW41-1</f>
        <v>#DIV/0!</v>
      </c>
      <c r="BY77" s="217" t="e">
        <f>'Balance Sheet'!BY41/'Balance Sheet'!BX41-1</f>
        <v>#DIV/0!</v>
      </c>
      <c r="BZ77" s="217">
        <f>'Balance Sheet'!BZ41/'Balance Sheet'!BY41-1</f>
        <v>-6.7375054558644898E-3</v>
      </c>
      <c r="CA77" s="217">
        <f>'Balance Sheet'!CA41/'Balance Sheet'!BZ41-1</f>
        <v>-3.0466180818745747E-2</v>
      </c>
      <c r="CB77" s="217">
        <f>'Balance Sheet'!CB41/'Balance Sheet'!CA41-1</f>
        <v>0.40903742810032884</v>
      </c>
      <c r="CC77" s="217">
        <f>'Balance Sheet'!CC41/'Balance Sheet'!CB41-1</f>
        <v>0.79237190356119513</v>
      </c>
      <c r="CD77" s="217">
        <f>'Balance Sheet'!CD41/'Balance Sheet'!CC41-1</f>
        <v>-2.8167268132621159E-2</v>
      </c>
      <c r="CE77" s="217">
        <f>'Balance Sheet'!CE41/'Balance Sheet'!CD41-1</f>
        <v>0.31978961221019175</v>
      </c>
      <c r="CF77" s="217">
        <f>'Balance Sheet'!CF41/'Balance Sheet'!CE41-1</f>
        <v>-1.9015459423732395E-2</v>
      </c>
      <c r="CG77" s="217">
        <f>'Balance Sheet'!CG41/'Balance Sheet'!CF41-1</f>
        <v>0.23120618774860335</v>
      </c>
      <c r="CH77" s="217">
        <f>'Balance Sheet'!CH41/'Balance Sheet'!CG41-1</f>
        <v>-5.5405223317349761E-2</v>
      </c>
      <c r="CI77" s="217">
        <f>'Balance Sheet'!CI41/'Balance Sheet'!CH41-1</f>
        <v>7.9673099033793937E-2</v>
      </c>
      <c r="CJ77" s="217">
        <f>'Balance Sheet'!CJ41/'Balance Sheet'!CI41-1</f>
        <v>1.4449652204421071E-2</v>
      </c>
      <c r="CK77" s="217">
        <f>'Balance Sheet'!CK41/'Balance Sheet'!CJ41-1</f>
        <v>-2.3732993145785364E-2</v>
      </c>
      <c r="CL77" s="217">
        <f>'Balance Sheet'!CL41/'Balance Sheet'!CK41-1</f>
        <v>8.5922367145888634E-2</v>
      </c>
      <c r="CM77" s="217">
        <f>'Balance Sheet'!CM41/'Balance Sheet'!CL41-1</f>
        <v>7.3785208468664543E-2</v>
      </c>
      <c r="CN77" s="217">
        <f>'Balance Sheet'!CN41/'Balance Sheet'!CM41-1</f>
        <v>9.8566897092988714E-3</v>
      </c>
      <c r="CO77" s="217">
        <f>'Balance Sheet'!CO41/'Balance Sheet'!CN41-1</f>
        <v>-2.8182740266735617E-4</v>
      </c>
      <c r="CP77" s="217">
        <f>'Balance Sheet'!CP41/'Balance Sheet'!CO41-1</f>
        <v>0.1821526906380293</v>
      </c>
      <c r="CQ77" s="217">
        <f>'Balance Sheet'!CQ41/'Balance Sheet'!CP41-1</f>
        <v>-1.0232836530605582E-2</v>
      </c>
      <c r="CR77" s="217">
        <f>'Balance Sheet'!CR41/'Balance Sheet'!CQ41-1</f>
        <v>-6.5150053727613955E-3</v>
      </c>
      <c r="CS77" s="217">
        <f>'Balance Sheet'!CS41/'Balance Sheet'!CR41-1</f>
        <v>5.6344334055078438E-2</v>
      </c>
      <c r="CT77" s="217">
        <f>'Balance Sheet'!CT41/'Balance Sheet'!CS41-1</f>
        <v>-1.0916461948732525E-2</v>
      </c>
      <c r="CU77" s="217">
        <f>'Balance Sheet'!CU41/'Balance Sheet'!CT41-1</f>
        <v>2.1377276343359064E-2</v>
      </c>
      <c r="CV77" s="217">
        <f>'Balance Sheet'!CV41/'Balance Sheet'!CU41-1</f>
        <v>-8.7188624367546819E-3</v>
      </c>
      <c r="CW77" s="217">
        <f>'Balance Sheet'!CW41/'Balance Sheet'!CV41-1</f>
        <v>3.0724244618593799E-2</v>
      </c>
      <c r="CX77" s="217">
        <f>'Balance Sheet'!CX41/'Balance Sheet'!CW41-1</f>
        <v>2.648317747231399E-3</v>
      </c>
      <c r="CY77" s="217">
        <f>'Balance Sheet'!CY41/'Balance Sheet'!CX41-1</f>
        <v>2.6594617890809413E-2</v>
      </c>
      <c r="CZ77" s="217">
        <f>'Balance Sheet'!CZ41/'Balance Sheet'!CY41-1</f>
        <v>1.8059169086920068E-2</v>
      </c>
      <c r="DA77" s="216">
        <f t="shared" ref="DA77:DX77" si="49">(1+DA$17)*(1+DA$14)-1</f>
        <v>8.2383837964494777E-3</v>
      </c>
      <c r="DB77" s="216">
        <f t="shared" si="49"/>
        <v>8.3937254420483054E-3</v>
      </c>
      <c r="DC77" s="216">
        <f t="shared" si="49"/>
        <v>7.9057534988196121E-3</v>
      </c>
      <c r="DD77" s="216">
        <f t="shared" si="49"/>
        <v>7.6615015110583773E-3</v>
      </c>
      <c r="DE77" s="216">
        <f t="shared" si="49"/>
        <v>7.6615015110583773E-3</v>
      </c>
      <c r="DF77" s="216">
        <f t="shared" si="49"/>
        <v>7.1724639967380988E-3</v>
      </c>
      <c r="DG77" s="216">
        <f t="shared" si="49"/>
        <v>7.1724639967380988E-3</v>
      </c>
      <c r="DH77" s="216">
        <f t="shared" si="49"/>
        <v>7.4170717777328754E-3</v>
      </c>
      <c r="DI77" s="216">
        <f t="shared" si="49"/>
        <v>7.4170717777328754E-3</v>
      </c>
      <c r="DJ77" s="216">
        <f t="shared" si="49"/>
        <v>7.4170717777328754E-3</v>
      </c>
      <c r="DK77" s="216">
        <f t="shared" si="49"/>
        <v>7.4170717777328754E-3</v>
      </c>
      <c r="DL77" s="216">
        <f t="shared" si="49"/>
        <v>7.4170717777328754E-3</v>
      </c>
      <c r="DM77" s="216">
        <f t="shared" si="49"/>
        <v>7.4170717777328754E-3</v>
      </c>
      <c r="DN77" s="216">
        <f t="shared" si="49"/>
        <v>7.4170717777328754E-3</v>
      </c>
      <c r="DO77" s="216">
        <f t="shared" si="49"/>
        <v>7.4170717777328754E-3</v>
      </c>
      <c r="DP77" s="216">
        <f t="shared" si="49"/>
        <v>7.4170717777328754E-3</v>
      </c>
      <c r="DQ77" s="216">
        <f t="shared" si="49"/>
        <v>7.4170717777328754E-3</v>
      </c>
      <c r="DR77" s="216">
        <f t="shared" si="49"/>
        <v>7.4170717777328754E-3</v>
      </c>
      <c r="DS77" s="216">
        <f t="shared" si="49"/>
        <v>7.4170717777328754E-3</v>
      </c>
      <c r="DT77" s="216">
        <f t="shared" si="49"/>
        <v>7.4170717777328754E-3</v>
      </c>
      <c r="DU77" s="216">
        <f t="shared" si="49"/>
        <v>7.4170717777328754E-3</v>
      </c>
      <c r="DV77" s="216">
        <f t="shared" si="49"/>
        <v>7.4170717777328754E-3</v>
      </c>
      <c r="DW77" s="216">
        <f t="shared" si="49"/>
        <v>7.4170717777328754E-3</v>
      </c>
      <c r="DX77" s="216">
        <f t="shared" si="49"/>
        <v>7.4170717777328754E-3</v>
      </c>
    </row>
    <row r="78" spans="1:128">
      <c r="A78" s="41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9"/>
      <c r="R78" s="219"/>
      <c r="S78" s="219"/>
      <c r="T78" s="217"/>
      <c r="U78" s="216"/>
      <c r="V78" s="216"/>
      <c r="W78" s="216"/>
      <c r="X78" s="216"/>
      <c r="Y78" s="216"/>
      <c r="Z78" s="216"/>
      <c r="AA78" s="213"/>
      <c r="AB78" s="41"/>
      <c r="AC78" s="218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  <c r="CS78" s="217"/>
      <c r="CT78" s="217"/>
      <c r="CU78" s="217"/>
      <c r="CV78" s="217"/>
      <c r="CW78" s="217"/>
      <c r="CX78" s="217"/>
      <c r="CY78" s="217"/>
      <c r="CZ78" s="217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</row>
    <row r="79" spans="1:128">
      <c r="A79" s="61" t="s">
        <v>216</v>
      </c>
      <c r="B79" s="217"/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9"/>
      <c r="R79" s="219"/>
      <c r="S79" s="219"/>
      <c r="T79" s="217"/>
      <c r="U79" s="216"/>
      <c r="V79" s="216"/>
      <c r="W79" s="216"/>
      <c r="X79" s="216"/>
      <c r="Y79" s="216"/>
      <c r="Z79" s="216"/>
      <c r="AA79" s="213"/>
      <c r="AB79" s="61" t="str">
        <f>A79</f>
        <v>Insurance</v>
      </c>
      <c r="AC79" s="218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7"/>
      <c r="CQ79" s="217"/>
      <c r="CR79" s="217"/>
      <c r="CS79" s="217"/>
      <c r="CT79" s="217"/>
      <c r="CU79" s="217"/>
      <c r="CV79" s="217"/>
      <c r="CW79" s="217"/>
      <c r="CX79" s="217"/>
      <c r="CY79" s="217"/>
      <c r="CZ79" s="217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</row>
    <row r="80" spans="1:128">
      <c r="A80" s="41" t="s">
        <v>215</v>
      </c>
      <c r="B80" s="217"/>
      <c r="C80" s="217"/>
      <c r="D80" s="217"/>
      <c r="E80" s="217"/>
      <c r="F80" s="217"/>
      <c r="G80" s="217"/>
      <c r="H80" s="217"/>
      <c r="I80" s="217"/>
      <c r="J80" s="217" t="e">
        <f>'Balance Sheet'!J43/SUM('Income Statement'!J23)</f>
        <v>#DIV/0!</v>
      </c>
      <c r="K80" s="217" t="e">
        <f>'Balance Sheet'!K43/SUM('Income Statement'!K23)</f>
        <v>#DIV/0!</v>
      </c>
      <c r="L80" s="217" t="e">
        <f>'Balance Sheet'!L43/SUM('Income Statement'!L23)</f>
        <v>#DIV/0!</v>
      </c>
      <c r="M80" s="217" t="e">
        <f>'Balance Sheet'!M43/SUM('Income Statement'!M23)</f>
        <v>#DIV/0!</v>
      </c>
      <c r="N80" s="217">
        <f>'Balance Sheet'!N43/SUM('Income Statement'!N23)</f>
        <v>1.9931569300694831</v>
      </c>
      <c r="O80" s="217">
        <f>'Balance Sheet'!O43/SUM('Income Statement'!O23)</f>
        <v>2.0883391076283582</v>
      </c>
      <c r="P80" s="217">
        <f>'Balance Sheet'!P43/SUM('Income Statement'!P23)</f>
        <v>2.0150482853254026</v>
      </c>
      <c r="Q80" s="219">
        <f>'Balance Sheet'!Q43/SUM('Income Statement'!Q23)</f>
        <v>1.8895593794774046</v>
      </c>
      <c r="R80" s="219">
        <f>'Balance Sheet'!R43/SUM('Income Statement'!R23)</f>
        <v>1.9959613709055148</v>
      </c>
      <c r="S80" s="219">
        <f>'Balance Sheet'!S43/SUM('Income Statement'!S23)</f>
        <v>0.35684705516762327</v>
      </c>
      <c r="T80" s="217">
        <f>'Balance Sheet'!T43/SUM('Income Statement'!T23)</f>
        <v>0.51713871040966131</v>
      </c>
      <c r="U80" s="216">
        <f>'Balance Sheet'!U43/SUM('Income Statement'!U23)</f>
        <v>0.42499999999999999</v>
      </c>
      <c r="V80" s="216">
        <f>'Balance Sheet'!V43/SUM('Income Statement'!V23)</f>
        <v>0.42499999999999999</v>
      </c>
      <c r="W80" s="216">
        <f>'Balance Sheet'!W43/SUM('Income Statement'!W23)</f>
        <v>0.42500000000000004</v>
      </c>
      <c r="X80" s="216">
        <f>'Balance Sheet'!X43/SUM('Income Statement'!X23)</f>
        <v>0.42499999999999993</v>
      </c>
      <c r="Y80" s="216">
        <f>'Balance Sheet'!Y43/SUM('Income Statement'!Y23)</f>
        <v>0.42499999999999999</v>
      </c>
      <c r="Z80" s="216">
        <f>'Balance Sheet'!Z43/SUM('Income Statement'!Z23)</f>
        <v>0.42499999999999999</v>
      </c>
      <c r="AA80" s="213"/>
      <c r="AB80" s="41" t="str">
        <f>A80</f>
        <v>Reserves for property and casualty claims, % of LTM net premiums</v>
      </c>
      <c r="AC80" s="218"/>
      <c r="AD80" s="217">
        <f>'Balance Sheet'!AD43/SUM('Income Statement'!V23:AD23)</f>
        <v>0</v>
      </c>
      <c r="AE80" s="217" t="e">
        <f>'Balance Sheet'!AE43/SUM('Income Statement'!AB23:AE23)</f>
        <v>#DIV/0!</v>
      </c>
      <c r="AF80" s="217" t="e">
        <f>'Balance Sheet'!AF43/SUM('Income Statement'!AC23:AF23)</f>
        <v>#DIV/0!</v>
      </c>
      <c r="AG80" s="217" t="e">
        <f>'Balance Sheet'!AG43/SUM('Income Statement'!AD23:AG23)</f>
        <v>#DIV/0!</v>
      </c>
      <c r="AH80" s="217" t="e">
        <f>'Balance Sheet'!AH43/SUM('Income Statement'!AE23:AH23)</f>
        <v>#DIV/0!</v>
      </c>
      <c r="AI80" s="217" t="e">
        <f>'Balance Sheet'!AI43/SUM('Income Statement'!AF23:AI23)</f>
        <v>#DIV/0!</v>
      </c>
      <c r="AJ80" s="217" t="e">
        <f>'Balance Sheet'!AJ43/SUM('Income Statement'!AG23:AJ23)</f>
        <v>#DIV/0!</v>
      </c>
      <c r="AK80" s="217" t="e">
        <f>'Balance Sheet'!AK43/SUM('Income Statement'!AH23:AK23)</f>
        <v>#DIV/0!</v>
      </c>
      <c r="AL80" s="217" t="e">
        <f>'Balance Sheet'!AL43/SUM('Income Statement'!AI23:AL23)</f>
        <v>#DIV/0!</v>
      </c>
      <c r="AM80" s="217" t="e">
        <f>'Balance Sheet'!AM43/SUM('Income Statement'!AJ23:AM23)</f>
        <v>#DIV/0!</v>
      </c>
      <c r="AN80" s="217" t="e">
        <f>'Balance Sheet'!AN43/SUM('Income Statement'!AK23:AN23)</f>
        <v>#DIV/0!</v>
      </c>
      <c r="AO80" s="217" t="e">
        <f>'Balance Sheet'!AO43/SUM('Income Statement'!AL23:AO23)</f>
        <v>#DIV/0!</v>
      </c>
      <c r="AP80" s="217" t="e">
        <f>'Balance Sheet'!AP43/SUM('Income Statement'!AM23:AP23)</f>
        <v>#DIV/0!</v>
      </c>
      <c r="AQ80" s="217" t="e">
        <f>'Balance Sheet'!AQ43/SUM('Income Statement'!AN23:AQ23)</f>
        <v>#DIV/0!</v>
      </c>
      <c r="AR80" s="217" t="e">
        <f>'Balance Sheet'!AR43/SUM('Income Statement'!AO23:AR23)</f>
        <v>#DIV/0!</v>
      </c>
      <c r="AS80" s="217" t="e">
        <f>'Balance Sheet'!AS43/SUM('Income Statement'!AP23:AS23)</f>
        <v>#DIV/0!</v>
      </c>
      <c r="AT80" s="217" t="e">
        <f>'Balance Sheet'!AT43/SUM('Income Statement'!AQ23:AT23)</f>
        <v>#DIV/0!</v>
      </c>
      <c r="AU80" s="217" t="e">
        <f>'Balance Sheet'!AU43/SUM('Income Statement'!AR23:AU23)</f>
        <v>#DIV/0!</v>
      </c>
      <c r="AV80" s="217" t="e">
        <f>'Balance Sheet'!AV43/SUM('Income Statement'!AS23:AV23)</f>
        <v>#DIV/0!</v>
      </c>
      <c r="AW80" s="217" t="e">
        <f>'Balance Sheet'!AW43/SUM('Income Statement'!AT23:AW23)</f>
        <v>#DIV/0!</v>
      </c>
      <c r="AX80" s="217" t="e">
        <f>'Balance Sheet'!AX43/SUM('Income Statement'!AU23:AX23)</f>
        <v>#DIV/0!</v>
      </c>
      <c r="AY80" s="217" t="e">
        <f>'Balance Sheet'!AY43/SUM('Income Statement'!AV23:AY23)</f>
        <v>#DIV/0!</v>
      </c>
      <c r="AZ80" s="217" t="e">
        <f>'Balance Sheet'!AZ43/SUM('Income Statement'!AW23:AZ23)</f>
        <v>#DIV/0!</v>
      </c>
      <c r="BA80" s="217" t="e">
        <f>'Balance Sheet'!BA43/SUM('Income Statement'!AX23:BA23)</f>
        <v>#DIV/0!</v>
      </c>
      <c r="BB80" s="217" t="e">
        <f>'Balance Sheet'!BB43/SUM('Income Statement'!AY23:BB23)</f>
        <v>#DIV/0!</v>
      </c>
      <c r="BC80" s="217" t="e">
        <f>'Balance Sheet'!BC43/SUM('Income Statement'!AZ23:BC23)</f>
        <v>#DIV/0!</v>
      </c>
      <c r="BD80" s="217" t="e">
        <f>'Balance Sheet'!BD43/SUM('Income Statement'!BA23:BD23)</f>
        <v>#DIV/0!</v>
      </c>
      <c r="BE80" s="217" t="e">
        <f>'Balance Sheet'!BE43/SUM('Income Statement'!BB23:BE23)</f>
        <v>#DIV/0!</v>
      </c>
      <c r="BF80" s="217" t="e">
        <f>'Balance Sheet'!BF43/SUM('Income Statement'!BC23:BF23)</f>
        <v>#DIV/0!</v>
      </c>
      <c r="BG80" s="217" t="e">
        <f>'Balance Sheet'!BG43/SUM('Income Statement'!BD23:BG23)</f>
        <v>#DIV/0!</v>
      </c>
      <c r="BH80" s="217" t="e">
        <f>'Balance Sheet'!BH43/SUM('Income Statement'!BE23:BH23)</f>
        <v>#DIV/0!</v>
      </c>
      <c r="BI80" s="217" t="e">
        <f>'Balance Sheet'!BI43/SUM('Income Statement'!BF23:BI23)</f>
        <v>#DIV/0!</v>
      </c>
      <c r="BJ80" s="217" t="e">
        <f>'Balance Sheet'!BJ43/SUM('Income Statement'!BG23:BJ23)</f>
        <v>#DIV/0!</v>
      </c>
      <c r="BK80" s="217" t="e">
        <f>'Balance Sheet'!BK43/SUM('Income Statement'!BH23:BK23)</f>
        <v>#DIV/0!</v>
      </c>
      <c r="BL80" s="217" t="e">
        <f>'Balance Sheet'!BL43/SUM('Income Statement'!BI23:BL23)</f>
        <v>#DIV/0!</v>
      </c>
      <c r="BM80" s="217" t="e">
        <f>'Balance Sheet'!BM43/SUM('Income Statement'!BJ23:BM23)</f>
        <v>#DIV/0!</v>
      </c>
      <c r="BN80" s="217" t="e">
        <f>'Balance Sheet'!BN43/SUM('Income Statement'!BK23:BN23)</f>
        <v>#DIV/0!</v>
      </c>
      <c r="BO80" s="217" t="e">
        <f>'Balance Sheet'!BO43/SUM('Income Statement'!BL23:BO23)</f>
        <v>#DIV/0!</v>
      </c>
      <c r="BP80" s="217" t="e">
        <f>'Balance Sheet'!BP43/SUM('Income Statement'!BM23:BP23)</f>
        <v>#DIV/0!</v>
      </c>
      <c r="BQ80" s="217" t="e">
        <f>'Balance Sheet'!BQ43/SUM('Income Statement'!BN23:BQ23)</f>
        <v>#DIV/0!</v>
      </c>
      <c r="BR80" s="217" t="e">
        <f>'Balance Sheet'!BR43/SUM('Income Statement'!BO23:BR23)</f>
        <v>#DIV/0!</v>
      </c>
      <c r="BS80" s="217" t="e">
        <f>'Balance Sheet'!BS43/SUM('Income Statement'!BP23:BS23)</f>
        <v>#DIV/0!</v>
      </c>
      <c r="BT80" s="217" t="e">
        <f>'Balance Sheet'!BT43/SUM('Income Statement'!BQ23:BT23)</f>
        <v>#DIV/0!</v>
      </c>
      <c r="BU80" s="217" t="e">
        <f>'Balance Sheet'!BU43/SUM('Income Statement'!BR23:BU23)</f>
        <v>#DIV/0!</v>
      </c>
      <c r="BV80" s="217" t="e">
        <f>'Balance Sheet'!BV43/SUM('Income Statement'!BS23:BV23)</f>
        <v>#DIV/0!</v>
      </c>
      <c r="BW80" s="217" t="e">
        <f>'Balance Sheet'!BW43/SUM('Income Statement'!BT23:BW23)</f>
        <v>#DIV/0!</v>
      </c>
      <c r="BX80" s="217" t="e">
        <f>'Balance Sheet'!BX43/SUM('Income Statement'!BU23:BX23)</f>
        <v>#DIV/0!</v>
      </c>
      <c r="BY80" s="217">
        <f>'Balance Sheet'!BY43/SUM('Income Statement'!BV23:BY23)</f>
        <v>8.7404664630283619</v>
      </c>
      <c r="BZ80" s="217">
        <f>'Balance Sheet'!BZ43/SUM('Income Statement'!BW23:BZ23)</f>
        <v>4.3093741701549249</v>
      </c>
      <c r="CA80" s="217">
        <f>'Balance Sheet'!CA43/SUM('Income Statement'!BX23:CA23)</f>
        <v>2.6783745570412281</v>
      </c>
      <c r="CB80" s="217">
        <f>'Balance Sheet'!CB43/SUM('Income Statement'!BY23:CB23)</f>
        <v>1.9931569300694831</v>
      </c>
      <c r="CC80" s="217">
        <f>'Balance Sheet'!CC43/SUM('Income Statement'!BZ23:CC23)</f>
        <v>2.0451445396792076</v>
      </c>
      <c r="CD80" s="217">
        <f>'Balance Sheet'!CD43/SUM('Income Statement'!CA23:CD23)</f>
        <v>1.997676220079345</v>
      </c>
      <c r="CE80" s="217">
        <f>'Balance Sheet'!CE43/SUM('Income Statement'!CB23:CE23)</f>
        <v>2.0130230081770595</v>
      </c>
      <c r="CF80" s="217">
        <f>'Balance Sheet'!CF43/SUM('Income Statement'!CC23:CF23)</f>
        <v>2.0883391076283582</v>
      </c>
      <c r="CG80" s="217">
        <f>'Balance Sheet'!CG43/SUM('Income Statement'!CD23:CG23)</f>
        <v>2.0773679398707534</v>
      </c>
      <c r="CH80" s="217">
        <f>'Balance Sheet'!CH43/SUM('Income Statement'!CE23:CH23)</f>
        <v>2.0273601038370694</v>
      </c>
      <c r="CI80" s="217">
        <f>'Balance Sheet'!CI43/SUM('Income Statement'!CF23:CI23)</f>
        <v>2.0175172008807656</v>
      </c>
      <c r="CJ80" s="217">
        <f>'Balance Sheet'!CJ43/SUM('Income Statement'!CG23:CJ23)</f>
        <v>2.0150482853254026</v>
      </c>
      <c r="CK80" s="217">
        <f>'Balance Sheet'!CK43/SUM('Income Statement'!CH23:CK23)</f>
        <v>2.066410220980889</v>
      </c>
      <c r="CL80" s="217">
        <f>'Balance Sheet'!CL43/SUM('Income Statement'!CI23:CL23)</f>
        <v>2.0514091993412245</v>
      </c>
      <c r="CM80" s="217">
        <f>'Balance Sheet'!CM43/SUM('Income Statement'!CJ23:CM23)</f>
        <v>1.9938557756816504</v>
      </c>
      <c r="CN80" s="217">
        <f>'Balance Sheet'!CN43/SUM('Income Statement'!CK23:CN23)</f>
        <v>1.8895593794774046</v>
      </c>
      <c r="CO80" s="217">
        <f>'Balance Sheet'!CO43/SUM('Income Statement'!CL23:CO23)</f>
        <v>1.9520313973465941</v>
      </c>
      <c r="CP80" s="217">
        <f>'Balance Sheet'!CP43/SUM('Income Statement'!CM23:CP23)</f>
        <v>2.0001326025835477</v>
      </c>
      <c r="CQ80" s="217">
        <f>'Balance Sheet'!CQ43/SUM('Income Statement'!CN23:CQ23)</f>
        <v>1.9822208499195726</v>
      </c>
      <c r="CR80" s="217">
        <f>'Balance Sheet'!CR43/SUM('Income Statement'!CO23:CR23)</f>
        <v>1.9959613709055148</v>
      </c>
      <c r="CS80" s="217">
        <f>'Balance Sheet'!CS43/SUM('Income Statement'!CP23:CS23)</f>
        <v>0.47571995226120767</v>
      </c>
      <c r="CT80" s="217">
        <f>'Balance Sheet'!CT43/SUM('Income Statement'!CQ23:CT23)</f>
        <v>0.42567300632996641</v>
      </c>
      <c r="CU80" s="217">
        <f>'Balance Sheet'!CU43/SUM('Income Statement'!CR23:CU23)</f>
        <v>0.4256507565055867</v>
      </c>
      <c r="CV80" s="217">
        <f>'Balance Sheet'!CV43/SUM('Income Statement'!CS23:CV23)</f>
        <v>0.35684705516762327</v>
      </c>
      <c r="CW80" s="217">
        <f>'Balance Sheet'!CW43/SUM('Income Statement'!CT23:CW23)</f>
        <v>0.38601500888519064</v>
      </c>
      <c r="CX80" s="217">
        <f>'Balance Sheet'!CX43/SUM('Income Statement'!CU23:CX23)</f>
        <v>0.4183739652071426</v>
      </c>
      <c r="CY80" s="217">
        <f>'Balance Sheet'!CY43/SUM('Income Statement'!CV23:CY23)</f>
        <v>0.4625721307971789</v>
      </c>
      <c r="CZ80" s="217">
        <f>'Balance Sheet'!CZ43/SUM('Income Statement'!CW23:CZ23)</f>
        <v>0.51713871040966131</v>
      </c>
      <c r="DA80" s="216">
        <v>0.42499999999999999</v>
      </c>
      <c r="DB80" s="216">
        <v>0.42499999999999999</v>
      </c>
      <c r="DC80" s="216">
        <v>0.42499999999999999</v>
      </c>
      <c r="DD80" s="216">
        <v>0.42499999999999999</v>
      </c>
      <c r="DE80" s="216">
        <v>0.42499999999999999</v>
      </c>
      <c r="DF80" s="216">
        <v>0.42499999999999999</v>
      </c>
      <c r="DG80" s="216">
        <v>0.42499999999999999</v>
      </c>
      <c r="DH80" s="216">
        <v>0.42499999999999999</v>
      </c>
      <c r="DI80" s="216">
        <v>0.42499999999999999</v>
      </c>
      <c r="DJ80" s="216">
        <v>0.42499999999999999</v>
      </c>
      <c r="DK80" s="216">
        <v>0.42499999999999999</v>
      </c>
      <c r="DL80" s="216">
        <v>0.42499999999999999</v>
      </c>
      <c r="DM80" s="216">
        <v>0.42499999999999999</v>
      </c>
      <c r="DN80" s="216">
        <v>0.42499999999999999</v>
      </c>
      <c r="DO80" s="216">
        <v>0.42499999999999999</v>
      </c>
      <c r="DP80" s="216">
        <v>0.42499999999999999</v>
      </c>
      <c r="DQ80" s="216">
        <v>0.42499999999999999</v>
      </c>
      <c r="DR80" s="216">
        <v>0.42499999999999999</v>
      </c>
      <c r="DS80" s="216">
        <v>0.42499999999999999</v>
      </c>
      <c r="DT80" s="216">
        <v>0.42499999999999999</v>
      </c>
      <c r="DU80" s="216">
        <v>0.42499999999999999</v>
      </c>
      <c r="DV80" s="216">
        <v>0.42499999999999999</v>
      </c>
      <c r="DW80" s="216">
        <v>0.42499999999999999</v>
      </c>
      <c r="DX80" s="216">
        <v>0.42499999999999999</v>
      </c>
    </row>
    <row r="81" spans="1:128">
      <c r="A81" s="41" t="s">
        <v>214</v>
      </c>
      <c r="B81" s="217"/>
      <c r="C81" s="217"/>
      <c r="D81" s="217"/>
      <c r="E81" s="217"/>
      <c r="F81" s="217"/>
      <c r="G81" s="217"/>
      <c r="H81" s="217"/>
      <c r="I81" s="217"/>
      <c r="J81" s="217" t="e">
        <f>'Balance Sheet'!J44/SUM('Income Statement'!J23)</f>
        <v>#DIV/0!</v>
      </c>
      <c r="K81" s="217" t="e">
        <f>'Balance Sheet'!K44/SUM('Income Statement'!K23)</f>
        <v>#DIV/0!</v>
      </c>
      <c r="L81" s="217" t="e">
        <f>'Balance Sheet'!L44/SUM('Income Statement'!L23)</f>
        <v>#DIV/0!</v>
      </c>
      <c r="M81" s="217" t="e">
        <f>'Balance Sheet'!M44/SUM('Income Statement'!M23)</f>
        <v>#DIV/0!</v>
      </c>
      <c r="N81" s="217">
        <f>'Balance Sheet'!N44/SUM('Income Statement'!N23)</f>
        <v>0.31759252847499964</v>
      </c>
      <c r="O81" s="217">
        <f>'Balance Sheet'!O44/SUM('Income Statement'!O23)</f>
        <v>0.38838146866101397</v>
      </c>
      <c r="P81" s="217">
        <f>'Balance Sheet'!P44/SUM('Income Statement'!P23)</f>
        <v>0.38439692519500168</v>
      </c>
      <c r="Q81" s="219">
        <f>'Balance Sheet'!Q44/SUM('Income Statement'!Q23)</f>
        <v>0.33247952401603192</v>
      </c>
      <c r="R81" s="219">
        <f>'Balance Sheet'!R44/SUM('Income Statement'!R23)</f>
        <v>0.33710765210743715</v>
      </c>
      <c r="S81" s="219">
        <f>'Balance Sheet'!S44/SUM('Income Statement'!S23)</f>
        <v>2.1095455708697401</v>
      </c>
      <c r="T81" s="217">
        <f>'Balance Sheet'!T44/SUM('Income Statement'!T23)</f>
        <v>3.2239429148745233</v>
      </c>
      <c r="U81" s="216">
        <f>'Balance Sheet'!U44/SUM('Income Statement'!U23)</f>
        <v>0.4</v>
      </c>
      <c r="V81" s="216">
        <f>'Balance Sheet'!V44/SUM('Income Statement'!V23)</f>
        <v>0.4</v>
      </c>
      <c r="W81" s="216">
        <f>'Balance Sheet'!W44/SUM('Income Statement'!W23)</f>
        <v>0.4</v>
      </c>
      <c r="X81" s="216">
        <f>'Balance Sheet'!X44/SUM('Income Statement'!X23)</f>
        <v>0.4</v>
      </c>
      <c r="Y81" s="216">
        <f>'Balance Sheet'!Y44/SUM('Income Statement'!Y23)</f>
        <v>0.4</v>
      </c>
      <c r="Z81" s="216">
        <f>'Balance Sheet'!Z44/SUM('Income Statement'!Z23)</f>
        <v>0.4</v>
      </c>
      <c r="AA81" s="213"/>
      <c r="AB81" s="41" t="str">
        <f>A81</f>
        <v>Reserve for unearned premiums, % of LTM premiums</v>
      </c>
      <c r="AC81" s="218"/>
      <c r="AD81" s="217">
        <f>'Balance Sheet'!AD44/SUM('Income Statement'!V23:AD23)</f>
        <v>0</v>
      </c>
      <c r="AE81" s="217" t="e">
        <f>'Balance Sheet'!AE44/SUM('Income Statement'!AB23:AE23)</f>
        <v>#DIV/0!</v>
      </c>
      <c r="AF81" s="217" t="e">
        <f>'Balance Sheet'!AF44/SUM('Income Statement'!AC23:AF23)</f>
        <v>#DIV/0!</v>
      </c>
      <c r="AG81" s="217" t="e">
        <f>'Balance Sheet'!AG44/SUM('Income Statement'!AD23:AG23)</f>
        <v>#DIV/0!</v>
      </c>
      <c r="AH81" s="217" t="e">
        <f>'Balance Sheet'!AH44/SUM('Income Statement'!AE23:AH23)</f>
        <v>#DIV/0!</v>
      </c>
      <c r="AI81" s="217" t="e">
        <f>'Balance Sheet'!AI44/SUM('Income Statement'!AF23:AI23)</f>
        <v>#DIV/0!</v>
      </c>
      <c r="AJ81" s="217" t="e">
        <f>'Balance Sheet'!AJ44/SUM('Income Statement'!AG23:AJ23)</f>
        <v>#DIV/0!</v>
      </c>
      <c r="AK81" s="217" t="e">
        <f>'Balance Sheet'!AK44/SUM('Income Statement'!AH23:AK23)</f>
        <v>#DIV/0!</v>
      </c>
      <c r="AL81" s="217" t="e">
        <f>'Balance Sheet'!AL44/SUM('Income Statement'!AI23:AL23)</f>
        <v>#DIV/0!</v>
      </c>
      <c r="AM81" s="217" t="e">
        <f>'Balance Sheet'!AM44/SUM('Income Statement'!AJ23:AM23)</f>
        <v>#DIV/0!</v>
      </c>
      <c r="AN81" s="217" t="e">
        <f>'Balance Sheet'!AN44/SUM('Income Statement'!AK23:AN23)</f>
        <v>#DIV/0!</v>
      </c>
      <c r="AO81" s="217" t="e">
        <f>'Balance Sheet'!AO44/SUM('Income Statement'!AL23:AO23)</f>
        <v>#DIV/0!</v>
      </c>
      <c r="AP81" s="217" t="e">
        <f>'Balance Sheet'!AP44/SUM('Income Statement'!AM23:AP23)</f>
        <v>#DIV/0!</v>
      </c>
      <c r="AQ81" s="217" t="e">
        <f>'Balance Sheet'!AQ44/SUM('Income Statement'!AN23:AQ23)</f>
        <v>#DIV/0!</v>
      </c>
      <c r="AR81" s="217" t="e">
        <f>'Balance Sheet'!AR44/SUM('Income Statement'!AO23:AR23)</f>
        <v>#DIV/0!</v>
      </c>
      <c r="AS81" s="217" t="e">
        <f>'Balance Sheet'!AS44/SUM('Income Statement'!AP23:AS23)</f>
        <v>#DIV/0!</v>
      </c>
      <c r="AT81" s="217" t="e">
        <f>'Balance Sheet'!AT44/SUM('Income Statement'!AQ23:AT23)</f>
        <v>#DIV/0!</v>
      </c>
      <c r="AU81" s="217" t="e">
        <f>'Balance Sheet'!AU44/SUM('Income Statement'!AR23:AU23)</f>
        <v>#DIV/0!</v>
      </c>
      <c r="AV81" s="217" t="e">
        <f>'Balance Sheet'!AV44/SUM('Income Statement'!AS23:AV23)</f>
        <v>#DIV/0!</v>
      </c>
      <c r="AW81" s="217" t="e">
        <f>'Balance Sheet'!AW44/SUM('Income Statement'!AT23:AW23)</f>
        <v>#DIV/0!</v>
      </c>
      <c r="AX81" s="217" t="e">
        <f>'Balance Sheet'!AX44/SUM('Income Statement'!AU23:AX23)</f>
        <v>#DIV/0!</v>
      </c>
      <c r="AY81" s="217" t="e">
        <f>'Balance Sheet'!AY44/SUM('Income Statement'!AV23:AY23)</f>
        <v>#DIV/0!</v>
      </c>
      <c r="AZ81" s="217" t="e">
        <f>'Balance Sheet'!AZ44/SUM('Income Statement'!AW23:AZ23)</f>
        <v>#DIV/0!</v>
      </c>
      <c r="BA81" s="217" t="e">
        <f>'Balance Sheet'!BA44/SUM('Income Statement'!AX23:BA23)</f>
        <v>#DIV/0!</v>
      </c>
      <c r="BB81" s="217" t="e">
        <f>'Balance Sheet'!BB44/SUM('Income Statement'!AY23:BB23)</f>
        <v>#DIV/0!</v>
      </c>
      <c r="BC81" s="217" t="e">
        <f>'Balance Sheet'!BC44/SUM('Income Statement'!AZ23:BC23)</f>
        <v>#DIV/0!</v>
      </c>
      <c r="BD81" s="217" t="e">
        <f>'Balance Sheet'!BD44/SUM('Income Statement'!BA23:BD23)</f>
        <v>#DIV/0!</v>
      </c>
      <c r="BE81" s="217" t="e">
        <f>'Balance Sheet'!BE44/SUM('Income Statement'!BB23:BE23)</f>
        <v>#DIV/0!</v>
      </c>
      <c r="BF81" s="217" t="e">
        <f>'Balance Sheet'!BF44/SUM('Income Statement'!BC23:BF23)</f>
        <v>#DIV/0!</v>
      </c>
      <c r="BG81" s="217" t="e">
        <f>'Balance Sheet'!BG44/SUM('Income Statement'!BD23:BG23)</f>
        <v>#DIV/0!</v>
      </c>
      <c r="BH81" s="217" t="e">
        <f>'Balance Sheet'!BH44/SUM('Income Statement'!BE23:BH23)</f>
        <v>#DIV/0!</v>
      </c>
      <c r="BI81" s="217" t="e">
        <f>'Balance Sheet'!BI44/SUM('Income Statement'!BF23:BI23)</f>
        <v>#DIV/0!</v>
      </c>
      <c r="BJ81" s="217" t="e">
        <f>'Balance Sheet'!BJ44/SUM('Income Statement'!BG23:BJ23)</f>
        <v>#DIV/0!</v>
      </c>
      <c r="BK81" s="217" t="e">
        <f>'Balance Sheet'!BK44/SUM('Income Statement'!BH23:BK23)</f>
        <v>#DIV/0!</v>
      </c>
      <c r="BL81" s="217" t="e">
        <f>'Balance Sheet'!BL44/SUM('Income Statement'!BI23:BL23)</f>
        <v>#DIV/0!</v>
      </c>
      <c r="BM81" s="217" t="e">
        <f>'Balance Sheet'!BM44/SUM('Income Statement'!BJ23:BM23)</f>
        <v>#DIV/0!</v>
      </c>
      <c r="BN81" s="217" t="e">
        <f>'Balance Sheet'!BN44/SUM('Income Statement'!BK23:BN23)</f>
        <v>#DIV/0!</v>
      </c>
      <c r="BO81" s="217" t="e">
        <f>'Balance Sheet'!BO44/SUM('Income Statement'!BL23:BO23)</f>
        <v>#DIV/0!</v>
      </c>
      <c r="BP81" s="217" t="e">
        <f>'Balance Sheet'!BP44/SUM('Income Statement'!BM23:BP23)</f>
        <v>#DIV/0!</v>
      </c>
      <c r="BQ81" s="217" t="e">
        <f>'Balance Sheet'!BQ44/SUM('Income Statement'!BN23:BQ23)</f>
        <v>#DIV/0!</v>
      </c>
      <c r="BR81" s="217" t="e">
        <f>'Balance Sheet'!BR44/SUM('Income Statement'!BO23:BR23)</f>
        <v>#DIV/0!</v>
      </c>
      <c r="BS81" s="217" t="e">
        <f>'Balance Sheet'!BS44/SUM('Income Statement'!BP23:BS23)</f>
        <v>#DIV/0!</v>
      </c>
      <c r="BT81" s="217" t="e">
        <f>'Balance Sheet'!BT44/SUM('Income Statement'!BQ23:BT23)</f>
        <v>#DIV/0!</v>
      </c>
      <c r="BU81" s="217" t="e">
        <f>'Balance Sheet'!BU44/SUM('Income Statement'!BR23:BU23)</f>
        <v>#DIV/0!</v>
      </c>
      <c r="BV81" s="217" t="e">
        <f>'Balance Sheet'!BV44/SUM('Income Statement'!BS23:BV23)</f>
        <v>#DIV/0!</v>
      </c>
      <c r="BW81" s="217" t="e">
        <f>'Balance Sheet'!BW44/SUM('Income Statement'!BT23:BW23)</f>
        <v>#DIV/0!</v>
      </c>
      <c r="BX81" s="217" t="e">
        <f>'Balance Sheet'!BX44/SUM('Income Statement'!BU23:BX23)</f>
        <v>#DIV/0!</v>
      </c>
      <c r="BY81" s="217">
        <f>'Balance Sheet'!BY44/SUM('Income Statement'!BV23:BY23)</f>
        <v>1.3778172655382048</v>
      </c>
      <c r="BZ81" s="217">
        <f>'Balance Sheet'!BZ44/SUM('Income Statement'!BW23:BZ23)</f>
        <v>0.68305374610018132</v>
      </c>
      <c r="CA81" s="217">
        <f>'Balance Sheet'!CA44/SUM('Income Statement'!BX23:CA23)</f>
        <v>0.43168849592840547</v>
      </c>
      <c r="CB81" s="217">
        <f>'Balance Sheet'!CB44/SUM('Income Statement'!BY23:CB23)</f>
        <v>0.31759252847499964</v>
      </c>
      <c r="CC81" s="217">
        <f>'Balance Sheet'!CC44/SUM('Income Statement'!BZ23:CC23)</f>
        <v>0.30901957587129913</v>
      </c>
      <c r="CD81" s="217">
        <f>'Balance Sheet'!CD44/SUM('Income Statement'!CA23:CD23)</f>
        <v>0.32260301817817422</v>
      </c>
      <c r="CE81" s="217">
        <f>'Balance Sheet'!CE44/SUM('Income Statement'!CB23:CE23)</f>
        <v>0.34169092571409249</v>
      </c>
      <c r="CF81" s="217">
        <f>'Balance Sheet'!CF44/SUM('Income Statement'!CC23:CF23)</f>
        <v>0.38838146866101397</v>
      </c>
      <c r="CG81" s="217">
        <f>'Balance Sheet'!CG44/SUM('Income Statement'!CD23:CG23)</f>
        <v>0.35702379094831277</v>
      </c>
      <c r="CH81" s="217">
        <f>'Balance Sheet'!CH44/SUM('Income Statement'!CE23:CH23)</f>
        <v>0.33932999400656949</v>
      </c>
      <c r="CI81" s="217">
        <f>'Balance Sheet'!CI44/SUM('Income Statement'!CF23:CI23)</f>
        <v>0.32157750688348208</v>
      </c>
      <c r="CJ81" s="217">
        <f>'Balance Sheet'!CJ44/SUM('Income Statement'!CG23:CJ23)</f>
        <v>0.38439692519500168</v>
      </c>
      <c r="CK81" s="217">
        <f>'Balance Sheet'!CK44/SUM('Income Statement'!CH23:CK23)</f>
        <v>0.34291854778621389</v>
      </c>
      <c r="CL81" s="217">
        <f>'Balance Sheet'!CL44/SUM('Income Statement'!CI23:CL23)</f>
        <v>0.31667024718763587</v>
      </c>
      <c r="CM81" s="217">
        <f>'Balance Sheet'!CM44/SUM('Income Statement'!CJ23:CM23)</f>
        <v>0.30169723179150665</v>
      </c>
      <c r="CN81" s="217">
        <f>'Balance Sheet'!CN44/SUM('Income Statement'!CK23:CN23)</f>
        <v>0.33247952401603192</v>
      </c>
      <c r="CO81" s="217">
        <f>'Balance Sheet'!CO44/SUM('Income Statement'!CL23:CO23)</f>
        <v>0.3263303761794919</v>
      </c>
      <c r="CP81" s="217">
        <f>'Balance Sheet'!CP44/SUM('Income Statement'!CM23:CP23)</f>
        <v>0.33741329167151829</v>
      </c>
      <c r="CQ81" s="217">
        <f>'Balance Sheet'!CQ44/SUM('Income Statement'!CN23:CQ23)</f>
        <v>0.3189360801111274</v>
      </c>
      <c r="CR81" s="217">
        <f>'Balance Sheet'!CR44/SUM('Income Statement'!CO23:CR23)</f>
        <v>0.33710765210743715</v>
      </c>
      <c r="CS81" s="217">
        <f>'Balance Sheet'!CS44/SUM('Income Statement'!CP23:CS23)</f>
        <v>1.9071997477273921</v>
      </c>
      <c r="CT81" s="217">
        <f>'Balance Sheet'!CT44/SUM('Income Statement'!CQ23:CT23)</f>
        <v>1.9559866740352558</v>
      </c>
      <c r="CU81" s="217">
        <f>'Balance Sheet'!CU44/SUM('Income Statement'!CR23:CU23)</f>
        <v>2.0573651782754245</v>
      </c>
      <c r="CV81" s="217">
        <f>'Balance Sheet'!CV44/SUM('Income Statement'!CS23:CV23)</f>
        <v>2.1095455708697401</v>
      </c>
      <c r="CW81" s="217">
        <f>'Balance Sheet'!CW44/SUM('Income Statement'!CT23:CW23)</f>
        <v>2.3206290695667517</v>
      </c>
      <c r="CX81" s="217">
        <f>'Balance Sheet'!CX44/SUM('Income Statement'!CU23:CX23)</f>
        <v>2.5521992526645101</v>
      </c>
      <c r="CY81" s="217">
        <f>'Balance Sheet'!CY44/SUM('Income Statement'!CV23:CY23)</f>
        <v>2.8142378451701262</v>
      </c>
      <c r="CZ81" s="217">
        <f>'Balance Sheet'!CZ44/SUM('Income Statement'!CW23:CZ23)</f>
        <v>3.2239429148745233</v>
      </c>
      <c r="DA81" s="216">
        <v>0.4</v>
      </c>
      <c r="DB81" s="216">
        <v>0.4</v>
      </c>
      <c r="DC81" s="216">
        <v>0.4</v>
      </c>
      <c r="DD81" s="216">
        <v>0.4</v>
      </c>
      <c r="DE81" s="216">
        <v>0.4</v>
      </c>
      <c r="DF81" s="216">
        <v>0.4</v>
      </c>
      <c r="DG81" s="216">
        <v>0.4</v>
      </c>
      <c r="DH81" s="216">
        <v>0.4</v>
      </c>
      <c r="DI81" s="216">
        <v>0.4</v>
      </c>
      <c r="DJ81" s="216">
        <v>0.4</v>
      </c>
      <c r="DK81" s="216">
        <v>0.4</v>
      </c>
      <c r="DL81" s="216">
        <v>0.4</v>
      </c>
      <c r="DM81" s="216">
        <v>0.4</v>
      </c>
      <c r="DN81" s="216">
        <v>0.4</v>
      </c>
      <c r="DO81" s="216">
        <v>0.4</v>
      </c>
      <c r="DP81" s="216">
        <v>0.4</v>
      </c>
      <c r="DQ81" s="216">
        <v>0.4</v>
      </c>
      <c r="DR81" s="216">
        <v>0.4</v>
      </c>
      <c r="DS81" s="216">
        <v>0.4</v>
      </c>
      <c r="DT81" s="216">
        <v>0.4</v>
      </c>
      <c r="DU81" s="216">
        <v>0.4</v>
      </c>
      <c r="DV81" s="216">
        <v>0.4</v>
      </c>
      <c r="DW81" s="216">
        <v>0.4</v>
      </c>
      <c r="DX81" s="216">
        <v>0.4</v>
      </c>
    </row>
    <row r="82" spans="1:128">
      <c r="A82" s="41" t="s">
        <v>213</v>
      </c>
      <c r="B82" s="217"/>
      <c r="C82" s="217"/>
      <c r="D82" s="217"/>
      <c r="E82" s="217"/>
      <c r="F82" s="217"/>
      <c r="G82" s="217"/>
      <c r="H82" s="217"/>
      <c r="I82" s="217"/>
      <c r="J82" s="217" t="e">
        <f>-'Balance Sheet'!J45/SUM('Income Statement'!J24)</f>
        <v>#DIV/0!</v>
      </c>
      <c r="K82" s="217" t="e">
        <f>-'Balance Sheet'!K45/SUM('Income Statement'!K24)</f>
        <v>#DIV/0!</v>
      </c>
      <c r="L82" s="217" t="e">
        <f>-'Balance Sheet'!L45/SUM('Income Statement'!L24)</f>
        <v>#DIV/0!</v>
      </c>
      <c r="M82" s="217" t="e">
        <f>-'Balance Sheet'!M45/SUM('Income Statement'!M24)</f>
        <v>#DIV/0!</v>
      </c>
      <c r="N82" s="217">
        <f>-'Balance Sheet'!N45/SUM('Income Statement'!N24)</f>
        <v>0.16112983998114255</v>
      </c>
      <c r="O82" s="217">
        <f>-'Balance Sheet'!O45/SUM('Income Statement'!O24)</f>
        <v>0.1914842802352795</v>
      </c>
      <c r="P82" s="217">
        <f>-'Balance Sheet'!P45/SUM('Income Statement'!P24)</f>
        <v>0.19950693635615122</v>
      </c>
      <c r="Q82" s="219">
        <f>-'Balance Sheet'!Q45/SUM('Income Statement'!Q24)</f>
        <v>0.14320658739071712</v>
      </c>
      <c r="R82" s="219">
        <f>-'Balance Sheet'!R45/SUM('Income Statement'!R24)</f>
        <v>0.15863749497479859</v>
      </c>
      <c r="S82" s="219">
        <f>-'Balance Sheet'!S45/SUM('Income Statement'!S24)</f>
        <v>0.15483625878142582</v>
      </c>
      <c r="T82" s="217">
        <f>-'Balance Sheet'!T45/SUM('Income Statement'!T24)</f>
        <v>0.33863321116764356</v>
      </c>
      <c r="U82" s="216">
        <f>-'Balance Sheet'!U45/SUM('Income Statement'!U24)</f>
        <v>0.7</v>
      </c>
      <c r="V82" s="216">
        <f>-'Balance Sheet'!V45/SUM('Income Statement'!V24)</f>
        <v>0.7</v>
      </c>
      <c r="W82" s="216">
        <f>-'Balance Sheet'!W45/SUM('Income Statement'!W24)</f>
        <v>0.7</v>
      </c>
      <c r="X82" s="216">
        <f>-'Balance Sheet'!X45/SUM('Income Statement'!X24)</f>
        <v>0.69999999999999984</v>
      </c>
      <c r="Y82" s="216">
        <f>-'Balance Sheet'!Y45/SUM('Income Statement'!Y24)</f>
        <v>0.7</v>
      </c>
      <c r="Z82" s="216">
        <f>-'Balance Sheet'!Z45/SUM('Income Statement'!Z24)</f>
        <v>0.7</v>
      </c>
      <c r="AA82" s="213"/>
      <c r="AB82" s="41" t="str">
        <f>A82</f>
        <v>Reinsurance payable, % of LTM claims</v>
      </c>
      <c r="AC82" s="218"/>
      <c r="AD82" s="217">
        <f>-'Balance Sheet'!AD45/SUM('Income Statement'!V24:AD24)</f>
        <v>0</v>
      </c>
      <c r="AE82" s="217" t="e">
        <f>-'Balance Sheet'!AE45/SUM('Income Statement'!AB24:AE24)</f>
        <v>#DIV/0!</v>
      </c>
      <c r="AF82" s="217" t="e">
        <f>-'Balance Sheet'!AF45/SUM('Income Statement'!AC24:AF24)</f>
        <v>#DIV/0!</v>
      </c>
      <c r="AG82" s="217" t="e">
        <f>-'Balance Sheet'!AG45/SUM('Income Statement'!AD24:AG24)</f>
        <v>#DIV/0!</v>
      </c>
      <c r="AH82" s="217" t="e">
        <f>-'Balance Sheet'!AH45/SUM('Income Statement'!AE24:AH24)</f>
        <v>#DIV/0!</v>
      </c>
      <c r="AI82" s="217" t="e">
        <f>-'Balance Sheet'!AI45/SUM('Income Statement'!AF24:AI24)</f>
        <v>#DIV/0!</v>
      </c>
      <c r="AJ82" s="217" t="e">
        <f>-'Balance Sheet'!AJ45/SUM('Income Statement'!AG24:AJ24)</f>
        <v>#DIV/0!</v>
      </c>
      <c r="AK82" s="217" t="e">
        <f>-'Balance Sheet'!AK45/SUM('Income Statement'!AH24:AK24)</f>
        <v>#DIV/0!</v>
      </c>
      <c r="AL82" s="217" t="e">
        <f>-'Balance Sheet'!AL45/SUM('Income Statement'!AI24:AL24)</f>
        <v>#DIV/0!</v>
      </c>
      <c r="AM82" s="217" t="e">
        <f>-'Balance Sheet'!AM45/SUM('Income Statement'!AJ24:AM24)</f>
        <v>#DIV/0!</v>
      </c>
      <c r="AN82" s="217" t="e">
        <f>-'Balance Sheet'!AN45/SUM('Income Statement'!AK24:AN24)</f>
        <v>#DIV/0!</v>
      </c>
      <c r="AO82" s="217" t="e">
        <f>-'Balance Sheet'!AO45/SUM('Income Statement'!AL24:AO24)</f>
        <v>#DIV/0!</v>
      </c>
      <c r="AP82" s="217" t="e">
        <f>-'Balance Sheet'!AP45/SUM('Income Statement'!AM24:AP24)</f>
        <v>#DIV/0!</v>
      </c>
      <c r="AQ82" s="217" t="e">
        <f>-'Balance Sheet'!AQ45/SUM('Income Statement'!AN24:AQ24)</f>
        <v>#DIV/0!</v>
      </c>
      <c r="AR82" s="217" t="e">
        <f>-'Balance Sheet'!AR45/SUM('Income Statement'!AO24:AR24)</f>
        <v>#DIV/0!</v>
      </c>
      <c r="AS82" s="217" t="e">
        <f>-'Balance Sheet'!AS45/SUM('Income Statement'!AP24:AS24)</f>
        <v>#DIV/0!</v>
      </c>
      <c r="AT82" s="217" t="e">
        <f>-'Balance Sheet'!AT45/SUM('Income Statement'!AQ24:AT24)</f>
        <v>#DIV/0!</v>
      </c>
      <c r="AU82" s="217" t="e">
        <f>-'Balance Sheet'!AU45/SUM('Income Statement'!AR24:AU24)</f>
        <v>#DIV/0!</v>
      </c>
      <c r="AV82" s="217" t="e">
        <f>-'Balance Sheet'!AV45/SUM('Income Statement'!AS24:AV24)</f>
        <v>#DIV/0!</v>
      </c>
      <c r="AW82" s="217" t="e">
        <f>-'Balance Sheet'!AW45/SUM('Income Statement'!AT24:AW24)</f>
        <v>#DIV/0!</v>
      </c>
      <c r="AX82" s="217" t="e">
        <f>-'Balance Sheet'!AX45/SUM('Income Statement'!AU24:AX24)</f>
        <v>#DIV/0!</v>
      </c>
      <c r="AY82" s="217" t="e">
        <f>-'Balance Sheet'!AY45/SUM('Income Statement'!AV24:AY24)</f>
        <v>#DIV/0!</v>
      </c>
      <c r="AZ82" s="217" t="e">
        <f>-'Balance Sheet'!AZ45/SUM('Income Statement'!AW24:AZ24)</f>
        <v>#DIV/0!</v>
      </c>
      <c r="BA82" s="217" t="e">
        <f>-'Balance Sheet'!BA45/SUM('Income Statement'!AX24:BA24)</f>
        <v>#DIV/0!</v>
      </c>
      <c r="BB82" s="217" t="e">
        <f>-'Balance Sheet'!BB45/SUM('Income Statement'!AY24:BB24)</f>
        <v>#DIV/0!</v>
      </c>
      <c r="BC82" s="217" t="e">
        <f>-'Balance Sheet'!BC45/SUM('Income Statement'!AZ24:BC24)</f>
        <v>#DIV/0!</v>
      </c>
      <c r="BD82" s="217" t="e">
        <f>-'Balance Sheet'!BD45/SUM('Income Statement'!BA24:BD24)</f>
        <v>#DIV/0!</v>
      </c>
      <c r="BE82" s="217" t="e">
        <f>-'Balance Sheet'!BE45/SUM('Income Statement'!BB24:BE24)</f>
        <v>#DIV/0!</v>
      </c>
      <c r="BF82" s="217" t="e">
        <f>-'Balance Sheet'!BF45/SUM('Income Statement'!BC24:BF24)</f>
        <v>#DIV/0!</v>
      </c>
      <c r="BG82" s="217" t="e">
        <f>-'Balance Sheet'!BG45/SUM('Income Statement'!BD24:BG24)</f>
        <v>#DIV/0!</v>
      </c>
      <c r="BH82" s="217" t="e">
        <f>-'Balance Sheet'!BH45/SUM('Income Statement'!BE24:BH24)</f>
        <v>#DIV/0!</v>
      </c>
      <c r="BI82" s="217" t="e">
        <f>-'Balance Sheet'!BI45/SUM('Income Statement'!BF24:BI24)</f>
        <v>#DIV/0!</v>
      </c>
      <c r="BJ82" s="217" t="e">
        <f>-'Balance Sheet'!BJ45/SUM('Income Statement'!BG24:BJ24)</f>
        <v>#DIV/0!</v>
      </c>
      <c r="BK82" s="217" t="e">
        <f>-'Balance Sheet'!BK45/SUM('Income Statement'!BH24:BK24)</f>
        <v>#DIV/0!</v>
      </c>
      <c r="BL82" s="217" t="e">
        <f>-'Balance Sheet'!BL45/SUM('Income Statement'!BI24:BL24)</f>
        <v>#DIV/0!</v>
      </c>
      <c r="BM82" s="217" t="e">
        <f>-'Balance Sheet'!BM45/SUM('Income Statement'!BJ24:BM24)</f>
        <v>#DIV/0!</v>
      </c>
      <c r="BN82" s="217" t="e">
        <f>-'Balance Sheet'!BN45/SUM('Income Statement'!BK24:BN24)</f>
        <v>#DIV/0!</v>
      </c>
      <c r="BO82" s="217" t="e">
        <f>-'Balance Sheet'!BO45/SUM('Income Statement'!BL24:BO24)</f>
        <v>#DIV/0!</v>
      </c>
      <c r="BP82" s="217" t="e">
        <f>-'Balance Sheet'!BP45/SUM('Income Statement'!BM24:BP24)</f>
        <v>#DIV/0!</v>
      </c>
      <c r="BQ82" s="217" t="e">
        <f>-'Balance Sheet'!BQ45/SUM('Income Statement'!BN24:BQ24)</f>
        <v>#DIV/0!</v>
      </c>
      <c r="BR82" s="217" t="e">
        <f>-'Balance Sheet'!BR45/SUM('Income Statement'!BO24:BR24)</f>
        <v>#DIV/0!</v>
      </c>
      <c r="BS82" s="217" t="e">
        <f>-'Balance Sheet'!BS45/SUM('Income Statement'!BP24:BS24)</f>
        <v>#DIV/0!</v>
      </c>
      <c r="BT82" s="217" t="e">
        <f>-'Balance Sheet'!BT45/SUM('Income Statement'!BQ24:BT24)</f>
        <v>#DIV/0!</v>
      </c>
      <c r="BU82" s="217" t="e">
        <f>-'Balance Sheet'!BU45/SUM('Income Statement'!BR24:BU24)</f>
        <v>#DIV/0!</v>
      </c>
      <c r="BV82" s="217" t="e">
        <f>-'Balance Sheet'!BV45/SUM('Income Statement'!BS24:BV24)</f>
        <v>#DIV/0!</v>
      </c>
      <c r="BW82" s="217" t="e">
        <f>-'Balance Sheet'!BW45/SUM('Income Statement'!BT24:BW24)</f>
        <v>#DIV/0!</v>
      </c>
      <c r="BX82" s="217" t="e">
        <f>-'Balance Sheet'!BX45/SUM('Income Statement'!BU24:BX24)</f>
        <v>#DIV/0!</v>
      </c>
      <c r="BY82" s="217">
        <f>-'Balance Sheet'!BY45/SUM('Income Statement'!BV24:BY24)</f>
        <v>0.55668789174112587</v>
      </c>
      <c r="BZ82" s="217">
        <f>-'Balance Sheet'!BZ45/SUM('Income Statement'!BW24:BZ24)</f>
        <v>0.24583326365926952</v>
      </c>
      <c r="CA82" s="217">
        <f>-'Balance Sheet'!CA45/SUM('Income Statement'!BX24:CA24)</f>
        <v>0.1700891647768312</v>
      </c>
      <c r="CB82" s="217">
        <f>-'Balance Sheet'!CB45/SUM('Income Statement'!BY24:CB24)</f>
        <v>0.16112983998114255</v>
      </c>
      <c r="CC82" s="217">
        <f>-'Balance Sheet'!CC45/SUM('Income Statement'!BZ24:CC24)</f>
        <v>0.11241758171681475</v>
      </c>
      <c r="CD82" s="217">
        <f>-'Balance Sheet'!CD45/SUM('Income Statement'!CA24:CD24)</f>
        <v>0.17671946067463759</v>
      </c>
      <c r="CE82" s="217">
        <f>-'Balance Sheet'!CE45/SUM('Income Statement'!CB24:CE24)</f>
        <v>0.21186086562913764</v>
      </c>
      <c r="CF82" s="217">
        <f>-'Balance Sheet'!CF45/SUM('Income Statement'!CC24:CF24)</f>
        <v>0.1914842802352795</v>
      </c>
      <c r="CG82" s="217">
        <f>-'Balance Sheet'!CG45/SUM('Income Statement'!CD24:CG24)</f>
        <v>0.11198325208156612</v>
      </c>
      <c r="CH82" s="217">
        <f>-'Balance Sheet'!CH45/SUM('Income Statement'!CE24:CH24)</f>
        <v>0.16591427120413951</v>
      </c>
      <c r="CI82" s="217">
        <f>-'Balance Sheet'!CI45/SUM('Income Statement'!CF24:CI24)</f>
        <v>0.16487885785004078</v>
      </c>
      <c r="CJ82" s="217">
        <f>-'Balance Sheet'!CJ45/SUM('Income Statement'!CG24:CJ24)</f>
        <v>0.19950693635615122</v>
      </c>
      <c r="CK82" s="217">
        <f>-'Balance Sheet'!CK45/SUM('Income Statement'!CH24:CK24)</f>
        <v>0.1281330937546068</v>
      </c>
      <c r="CL82" s="217">
        <f>-'Balance Sheet'!CL45/SUM('Income Statement'!CI24:CL24)</f>
        <v>0.16055163259050392</v>
      </c>
      <c r="CM82" s="217">
        <f>-'Balance Sheet'!CM45/SUM('Income Statement'!CJ24:CM24)</f>
        <v>0.14495153472080649</v>
      </c>
      <c r="CN82" s="217">
        <f>-'Balance Sheet'!CN45/SUM('Income Statement'!CK24:CN24)</f>
        <v>0.14320658739071712</v>
      </c>
      <c r="CO82" s="217">
        <f>-'Balance Sheet'!CO45/SUM('Income Statement'!CL24:CO24)</f>
        <v>0.14068137901686251</v>
      </c>
      <c r="CP82" s="217">
        <f>-'Balance Sheet'!CP45/SUM('Income Statement'!CM24:CP24)</f>
        <v>0.16873132652073572</v>
      </c>
      <c r="CQ82" s="217">
        <f>-'Balance Sheet'!CQ45/SUM('Income Statement'!CN24:CQ24)</f>
        <v>0.14043339948164593</v>
      </c>
      <c r="CR82" s="217">
        <f>-'Balance Sheet'!CR45/SUM('Income Statement'!CO24:CR24)</f>
        <v>0.15863749497479859</v>
      </c>
      <c r="CS82" s="217">
        <f>-'Balance Sheet'!CS45/SUM('Income Statement'!CP24:CS24)</f>
        <v>0.1090196704745985</v>
      </c>
      <c r="CT82" s="217">
        <f>-'Balance Sheet'!CT45/SUM('Income Statement'!CQ24:CT24)</f>
        <v>0.1589887971734843</v>
      </c>
      <c r="CU82" s="217">
        <f>-'Balance Sheet'!CU45/SUM('Income Statement'!CR24:CU24)</f>
        <v>0.15635846237473408</v>
      </c>
      <c r="CV82" s="217">
        <f>-'Balance Sheet'!CV45/SUM('Income Statement'!CS24:CV24)</f>
        <v>0.15483625878142582</v>
      </c>
      <c r="CW82" s="217">
        <f>-'Balance Sheet'!CW45/SUM('Income Statement'!CT24:CW24)</f>
        <v>0.24918278779407915</v>
      </c>
      <c r="CX82" s="217">
        <f>-'Balance Sheet'!CX45/SUM('Income Statement'!CU24:CX24)</f>
        <v>0.26889916107451245</v>
      </c>
      <c r="CY82" s="217">
        <f>-'Balance Sheet'!CY45/SUM('Income Statement'!CV24:CY24)</f>
        <v>0.32294274616013846</v>
      </c>
      <c r="CZ82" s="217">
        <f>-'Balance Sheet'!CZ45/SUM('Income Statement'!CW24:CZ24)</f>
        <v>0.33863321116764356</v>
      </c>
      <c r="DA82" s="216">
        <v>0.7</v>
      </c>
      <c r="DB82" s="216">
        <v>0.7</v>
      </c>
      <c r="DC82" s="216">
        <v>0.7</v>
      </c>
      <c r="DD82" s="216">
        <v>0.7</v>
      </c>
      <c r="DE82" s="216">
        <v>0.7</v>
      </c>
      <c r="DF82" s="216">
        <v>0.7</v>
      </c>
      <c r="DG82" s="216">
        <v>0.7</v>
      </c>
      <c r="DH82" s="216">
        <v>0.7</v>
      </c>
      <c r="DI82" s="216">
        <v>0.7</v>
      </c>
      <c r="DJ82" s="216">
        <v>0.7</v>
      </c>
      <c r="DK82" s="216">
        <v>0.7</v>
      </c>
      <c r="DL82" s="216">
        <v>0.7</v>
      </c>
      <c r="DM82" s="216">
        <v>0.7</v>
      </c>
      <c r="DN82" s="216">
        <v>0.7</v>
      </c>
      <c r="DO82" s="216">
        <v>0.7</v>
      </c>
      <c r="DP82" s="216">
        <v>0.7</v>
      </c>
      <c r="DQ82" s="216">
        <v>0.7</v>
      </c>
      <c r="DR82" s="216">
        <v>0.7</v>
      </c>
      <c r="DS82" s="216">
        <v>0.7</v>
      </c>
      <c r="DT82" s="216">
        <v>0.7</v>
      </c>
      <c r="DU82" s="216">
        <v>0.7</v>
      </c>
      <c r="DV82" s="216">
        <v>0.7</v>
      </c>
      <c r="DW82" s="216">
        <v>0.7</v>
      </c>
      <c r="DX82" s="216">
        <v>0.7</v>
      </c>
    </row>
    <row r="83" spans="1:128">
      <c r="A83" s="74"/>
      <c r="B83" s="217"/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24"/>
      <c r="R83" s="224"/>
      <c r="S83" s="224"/>
      <c r="T83" s="614"/>
      <c r="U83" s="223"/>
      <c r="V83" s="223"/>
      <c r="W83" s="223"/>
      <c r="X83" s="223"/>
      <c r="Y83" s="223"/>
      <c r="Z83" s="223"/>
      <c r="AA83" s="213"/>
      <c r="AB83" s="74"/>
      <c r="AC83" s="220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  <c r="CQ83" s="217"/>
      <c r="CR83" s="217"/>
      <c r="CS83" s="217"/>
      <c r="CT83" s="217"/>
      <c r="CU83" s="217"/>
      <c r="CV83" s="217"/>
      <c r="CW83" s="217"/>
      <c r="CX83" s="217"/>
      <c r="CY83" s="217"/>
      <c r="CZ83" s="217"/>
      <c r="DA83" s="151"/>
      <c r="DB83" s="151"/>
      <c r="DC83" s="151"/>
      <c r="DD83" s="151"/>
      <c r="DE83" s="151"/>
      <c r="DF83" s="151"/>
      <c r="DG83" s="151"/>
      <c r="DH83" s="151"/>
      <c r="DI83" s="151"/>
      <c r="DJ83" s="151"/>
      <c r="DK83" s="151"/>
      <c r="DL83" s="151"/>
      <c r="DM83" s="151"/>
      <c r="DN83" s="151"/>
      <c r="DO83" s="151"/>
      <c r="DP83" s="151"/>
      <c r="DQ83" s="151"/>
      <c r="DR83" s="151"/>
      <c r="DS83" s="151"/>
      <c r="DT83" s="151"/>
      <c r="DU83" s="151"/>
      <c r="DV83" s="151"/>
      <c r="DW83" s="151"/>
      <c r="DX83" s="151"/>
    </row>
    <row r="84" spans="1:128">
      <c r="A84" s="61" t="s">
        <v>151</v>
      </c>
      <c r="B84" s="217"/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22"/>
      <c r="R84" s="222"/>
      <c r="S84" s="222"/>
      <c r="T84" s="613"/>
      <c r="U84" s="221"/>
      <c r="V84" s="221"/>
      <c r="W84" s="221"/>
      <c r="X84" s="221"/>
      <c r="Y84" s="221"/>
      <c r="Z84" s="221"/>
      <c r="AA84" s="213"/>
      <c r="AB84" s="61" t="str">
        <f>A84</f>
        <v>Other liabilities</v>
      </c>
      <c r="AC84" s="220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  <c r="CQ84" s="217"/>
      <c r="CR84" s="217"/>
      <c r="CS84" s="217"/>
      <c r="CT84" s="217"/>
      <c r="CU84" s="217"/>
      <c r="CV84" s="217"/>
      <c r="CW84" s="217"/>
      <c r="CX84" s="217"/>
      <c r="CY84" s="217"/>
      <c r="CZ84" s="217"/>
      <c r="DA84" s="151"/>
      <c r="DB84" s="151"/>
      <c r="DC84" s="151"/>
      <c r="DD84" s="151"/>
      <c r="DE84" s="151"/>
      <c r="DF84" s="151"/>
      <c r="DG84" s="151"/>
      <c r="DH84" s="151"/>
      <c r="DI84" s="151"/>
      <c r="DJ84" s="151"/>
      <c r="DK84" s="151"/>
      <c r="DL84" s="151"/>
      <c r="DM84" s="151"/>
      <c r="DN84" s="151"/>
      <c r="DO84" s="151"/>
      <c r="DP84" s="151"/>
      <c r="DQ84" s="151"/>
      <c r="DR84" s="151"/>
      <c r="DS84" s="151"/>
      <c r="DT84" s="151"/>
      <c r="DU84" s="151"/>
      <c r="DV84" s="151"/>
      <c r="DW84" s="151"/>
      <c r="DX84" s="151"/>
    </row>
    <row r="85" spans="1:128">
      <c r="A85" s="41" t="s">
        <v>212</v>
      </c>
      <c r="B85" s="217"/>
      <c r="C85" s="217"/>
      <c r="D85" s="217"/>
      <c r="E85" s="217"/>
      <c r="F85" s="217"/>
      <c r="G85" s="217"/>
      <c r="H85" s="217"/>
      <c r="I85" s="217"/>
      <c r="J85" s="217" t="e">
        <f>'Balance Sheet'!J47/'Balance Sheet'!I47-1</f>
        <v>#DIV/0!</v>
      </c>
      <c r="K85" s="217" t="e">
        <f>'Balance Sheet'!K47/'Balance Sheet'!J47-1</f>
        <v>#DIV/0!</v>
      </c>
      <c r="L85" s="217" t="e">
        <f>'Balance Sheet'!L47/'Balance Sheet'!K47-1</f>
        <v>#DIV/0!</v>
      </c>
      <c r="M85" s="217" t="e">
        <f>'Balance Sheet'!M47/'Balance Sheet'!L47-1</f>
        <v>#DIV/0!</v>
      </c>
      <c r="N85" s="217" t="e">
        <f>'Balance Sheet'!N47/'Balance Sheet'!M47-1</f>
        <v>#DIV/0!</v>
      </c>
      <c r="O85" s="217">
        <f>'Balance Sheet'!O47/'Balance Sheet'!N47-1</f>
        <v>7.5708905509539459E-2</v>
      </c>
      <c r="P85" s="217">
        <f>'Balance Sheet'!P47/'Balance Sheet'!O47-1</f>
        <v>-2.5906960497096509E-2</v>
      </c>
      <c r="Q85" s="219">
        <f>'Balance Sheet'!Q47/'Balance Sheet'!P47-1</f>
        <v>1.6350501019121757</v>
      </c>
      <c r="R85" s="219">
        <f>'Balance Sheet'!R47/'Balance Sheet'!Q47-1</f>
        <v>-0.37529346567207567</v>
      </c>
      <c r="S85" s="219">
        <f>'Balance Sheet'!S47/'Balance Sheet'!R47-1</f>
        <v>0.59038769810436542</v>
      </c>
      <c r="T85" s="217">
        <f>'Balance Sheet'!T47/'Balance Sheet'!S47-1</f>
        <v>-7.5624712497863733E-2</v>
      </c>
      <c r="U85" s="216">
        <f>'Balance Sheet'!U47/'Balance Sheet'!T47-1</f>
        <v>3.2590089289722401E-2</v>
      </c>
      <c r="V85" s="216">
        <f>'Balance Sheet'!V47/'Balance Sheet'!U47-1</f>
        <v>2.9749666269401231E-2</v>
      </c>
      <c r="W85" s="216">
        <f>'Balance Sheet'!W47/'Balance Sheet'!V47-1</f>
        <v>2.9999999999999583E-2</v>
      </c>
      <c r="X85" s="216">
        <f>'Balance Sheet'!X47/'Balance Sheet'!W47-1</f>
        <v>2.9999999999999583E-2</v>
      </c>
      <c r="Y85" s="216">
        <f>'Balance Sheet'!Y47/'Balance Sheet'!X47-1</f>
        <v>2.9999999999999805E-2</v>
      </c>
      <c r="Z85" s="216">
        <f>'Balance Sheet'!Z47/'Balance Sheet'!Y47-1</f>
        <v>2.9999999999999583E-2</v>
      </c>
      <c r="AA85" s="213"/>
      <c r="AB85" s="41" t="str">
        <f>A85</f>
        <v>Other liabilities, % growth</v>
      </c>
      <c r="AC85" s="218"/>
      <c r="AD85" s="217" t="e">
        <f>'Balance Sheet'!AD47/'Balance Sheet'!AC47-1</f>
        <v>#DIV/0!</v>
      </c>
      <c r="AE85" s="217" t="e">
        <f>'Balance Sheet'!AE47/'Balance Sheet'!AD47-1</f>
        <v>#DIV/0!</v>
      </c>
      <c r="AF85" s="217" t="e">
        <f>'Balance Sheet'!AF47/'Balance Sheet'!AE47-1</f>
        <v>#DIV/0!</v>
      </c>
      <c r="AG85" s="217" t="e">
        <f>'Balance Sheet'!AG47/'Balance Sheet'!AF47-1</f>
        <v>#DIV/0!</v>
      </c>
      <c r="AH85" s="217" t="e">
        <f>'Balance Sheet'!AH47/'Balance Sheet'!AG47-1</f>
        <v>#DIV/0!</v>
      </c>
      <c r="AI85" s="217" t="e">
        <f>'Balance Sheet'!AI47/'Balance Sheet'!AH47-1</f>
        <v>#DIV/0!</v>
      </c>
      <c r="AJ85" s="217" t="e">
        <f>'Balance Sheet'!AJ47/'Balance Sheet'!AI47-1</f>
        <v>#DIV/0!</v>
      </c>
      <c r="AK85" s="217" t="e">
        <f>'Balance Sheet'!AK47/'Balance Sheet'!AJ47-1</f>
        <v>#DIV/0!</v>
      </c>
      <c r="AL85" s="217" t="e">
        <f>'Balance Sheet'!AL47/'Balance Sheet'!AK47-1</f>
        <v>#DIV/0!</v>
      </c>
      <c r="AM85" s="217" t="e">
        <f>'Balance Sheet'!AM47/'Balance Sheet'!AL47-1</f>
        <v>#DIV/0!</v>
      </c>
      <c r="AN85" s="217" t="e">
        <f>'Balance Sheet'!AN47/'Balance Sheet'!AM47-1</f>
        <v>#DIV/0!</v>
      </c>
      <c r="AO85" s="217" t="e">
        <f>'Balance Sheet'!AO47/'Balance Sheet'!AN47-1</f>
        <v>#DIV/0!</v>
      </c>
      <c r="AP85" s="217" t="e">
        <f>'Balance Sheet'!AP47/'Balance Sheet'!AO47-1</f>
        <v>#DIV/0!</v>
      </c>
      <c r="AQ85" s="217" t="e">
        <f>'Balance Sheet'!AQ47/'Balance Sheet'!AP47-1</f>
        <v>#DIV/0!</v>
      </c>
      <c r="AR85" s="217" t="e">
        <f>'Balance Sheet'!AR47/'Balance Sheet'!AQ47-1</f>
        <v>#DIV/0!</v>
      </c>
      <c r="AS85" s="217" t="e">
        <f>'Balance Sheet'!AS47/'Balance Sheet'!AR47-1</f>
        <v>#DIV/0!</v>
      </c>
      <c r="AT85" s="217" t="e">
        <f>'Balance Sheet'!AT47/'Balance Sheet'!AS47-1</f>
        <v>#DIV/0!</v>
      </c>
      <c r="AU85" s="217" t="e">
        <f>'Balance Sheet'!AU47/'Balance Sheet'!AT47-1</f>
        <v>#DIV/0!</v>
      </c>
      <c r="AV85" s="217" t="e">
        <f>'Balance Sheet'!AV47/'Balance Sheet'!AU47-1</f>
        <v>#DIV/0!</v>
      </c>
      <c r="AW85" s="217" t="e">
        <f>'Balance Sheet'!AW47/'Balance Sheet'!AV47-1</f>
        <v>#DIV/0!</v>
      </c>
      <c r="AX85" s="217" t="e">
        <f>'Balance Sheet'!AX47/'Balance Sheet'!AW47-1</f>
        <v>#DIV/0!</v>
      </c>
      <c r="AY85" s="217" t="e">
        <f>'Balance Sheet'!AY47/'Balance Sheet'!AX47-1</f>
        <v>#DIV/0!</v>
      </c>
      <c r="AZ85" s="217" t="e">
        <f>'Balance Sheet'!AZ47/'Balance Sheet'!AY47-1</f>
        <v>#DIV/0!</v>
      </c>
      <c r="BA85" s="217" t="e">
        <f>'Balance Sheet'!BA47/'Balance Sheet'!AZ47-1</f>
        <v>#DIV/0!</v>
      </c>
      <c r="BB85" s="217" t="e">
        <f>'Balance Sheet'!BB47/'Balance Sheet'!BA47-1</f>
        <v>#DIV/0!</v>
      </c>
      <c r="BC85" s="217" t="e">
        <f>'Balance Sheet'!BC47/'Balance Sheet'!BB47-1</f>
        <v>#DIV/0!</v>
      </c>
      <c r="BD85" s="217" t="e">
        <f>'Balance Sheet'!BD47/'Balance Sheet'!BC47-1</f>
        <v>#DIV/0!</v>
      </c>
      <c r="BE85" s="217" t="e">
        <f>'Balance Sheet'!BE47/'Balance Sheet'!BD47-1</f>
        <v>#DIV/0!</v>
      </c>
      <c r="BF85" s="217" t="e">
        <f>'Balance Sheet'!BF47/'Balance Sheet'!BE47-1</f>
        <v>#DIV/0!</v>
      </c>
      <c r="BG85" s="217" t="e">
        <f>'Balance Sheet'!BG47/'Balance Sheet'!BF47-1</f>
        <v>#DIV/0!</v>
      </c>
      <c r="BH85" s="217" t="e">
        <f>'Balance Sheet'!BH47/'Balance Sheet'!BG47-1</f>
        <v>#DIV/0!</v>
      </c>
      <c r="BI85" s="217" t="e">
        <f>'Balance Sheet'!BI47/'Balance Sheet'!BH47-1</f>
        <v>#DIV/0!</v>
      </c>
      <c r="BJ85" s="217" t="e">
        <f>'Balance Sheet'!BJ47/'Balance Sheet'!BI47-1</f>
        <v>#DIV/0!</v>
      </c>
      <c r="BK85" s="217" t="e">
        <f>'Balance Sheet'!BK47/'Balance Sheet'!BJ47-1</f>
        <v>#DIV/0!</v>
      </c>
      <c r="BL85" s="217" t="e">
        <f>'Balance Sheet'!BL47/'Balance Sheet'!BK47-1</f>
        <v>#DIV/0!</v>
      </c>
      <c r="BM85" s="217" t="e">
        <f>'Balance Sheet'!BM47/'Balance Sheet'!BL47-1</f>
        <v>#DIV/0!</v>
      </c>
      <c r="BN85" s="217" t="e">
        <f>'Balance Sheet'!BN47/'Balance Sheet'!BM47-1</f>
        <v>#DIV/0!</v>
      </c>
      <c r="BO85" s="217" t="e">
        <f>'Balance Sheet'!BO47/'Balance Sheet'!BN47-1</f>
        <v>#DIV/0!</v>
      </c>
      <c r="BP85" s="217" t="e">
        <f>'Balance Sheet'!BP47/'Balance Sheet'!BO47-1</f>
        <v>#DIV/0!</v>
      </c>
      <c r="BQ85" s="217" t="e">
        <f>'Balance Sheet'!BQ47/'Balance Sheet'!BP47-1</f>
        <v>#DIV/0!</v>
      </c>
      <c r="BR85" s="217" t="e">
        <f>'Balance Sheet'!BR47/'Balance Sheet'!BQ47-1</f>
        <v>#DIV/0!</v>
      </c>
      <c r="BS85" s="217" t="e">
        <f>'Balance Sheet'!BS47/'Balance Sheet'!BR47-1</f>
        <v>#DIV/0!</v>
      </c>
      <c r="BT85" s="217" t="e">
        <f>'Balance Sheet'!BT47/'Balance Sheet'!BS47-1</f>
        <v>#DIV/0!</v>
      </c>
      <c r="BU85" s="217" t="e">
        <f>'Balance Sheet'!BU47/'Balance Sheet'!BT47-1</f>
        <v>#DIV/0!</v>
      </c>
      <c r="BV85" s="217" t="e">
        <f>'Balance Sheet'!BV47/'Balance Sheet'!BU47-1</f>
        <v>#DIV/0!</v>
      </c>
      <c r="BW85" s="217" t="e">
        <f>'Balance Sheet'!BW47/'Balance Sheet'!BV47-1</f>
        <v>#DIV/0!</v>
      </c>
      <c r="BX85" s="217" t="e">
        <f>'Balance Sheet'!BX47/'Balance Sheet'!BW47-1</f>
        <v>#DIV/0!</v>
      </c>
      <c r="BY85" s="217" t="e">
        <f>'Balance Sheet'!BY47/'Balance Sheet'!BX47-1</f>
        <v>#DIV/0!</v>
      </c>
      <c r="BZ85" s="217">
        <f>'Balance Sheet'!BZ47/'Balance Sheet'!BY47-1</f>
        <v>-0.10454707435891641</v>
      </c>
      <c r="CA85" s="217">
        <f>'Balance Sheet'!CA47/'Balance Sheet'!BZ47-1</f>
        <v>-4.088859403308609E-3</v>
      </c>
      <c r="CB85" s="217">
        <f>'Balance Sheet'!CB47/'Balance Sheet'!CA47-1</f>
        <v>-0.20223862788703151</v>
      </c>
      <c r="CC85" s="217">
        <f>'Balance Sheet'!CC47/'Balance Sheet'!CB47-1</f>
        <v>0.41196908083020856</v>
      </c>
      <c r="CD85" s="217">
        <f>'Balance Sheet'!CD47/'Balance Sheet'!CC47-1</f>
        <v>-0.29645934020919029</v>
      </c>
      <c r="CE85" s="217">
        <f>'Balance Sheet'!CE47/'Balance Sheet'!CD47-1</f>
        <v>0.14975404689930882</v>
      </c>
      <c r="CF85" s="217">
        <f>'Balance Sheet'!CF47/'Balance Sheet'!CE47-1</f>
        <v>-5.8163691571975096E-2</v>
      </c>
      <c r="CG85" s="217">
        <f>'Balance Sheet'!CG47/'Balance Sheet'!CF47-1</f>
        <v>0.26794659157064182</v>
      </c>
      <c r="CH85" s="217">
        <f>'Balance Sheet'!CH47/'Balance Sheet'!CG47-1</f>
        <v>-0.19976088058370722</v>
      </c>
      <c r="CI85" s="217">
        <f>'Balance Sheet'!CI47/'Balance Sheet'!CH47-1</f>
        <v>2.2374135773681747E-3</v>
      </c>
      <c r="CJ85" s="217">
        <f>'Balance Sheet'!CJ47/'Balance Sheet'!CI47-1</f>
        <v>-4.2124444060242516E-2</v>
      </c>
      <c r="CK85" s="217">
        <f>'Balance Sheet'!CK47/'Balance Sheet'!CJ47-1</f>
        <v>0.49945827773465101</v>
      </c>
      <c r="CL85" s="217">
        <f>'Balance Sheet'!CL47/'Balance Sheet'!CK47-1</f>
        <v>-0.15678733996752026</v>
      </c>
      <c r="CM85" s="217">
        <f>'Balance Sheet'!CM47/'Balance Sheet'!CL47-1</f>
        <v>0.90944538418562249</v>
      </c>
      <c r="CN85" s="217">
        <f>'Balance Sheet'!CN47/'Balance Sheet'!CM47-1</f>
        <v>9.1465799507126411E-2</v>
      </c>
      <c r="CO85" s="217">
        <f>'Balance Sheet'!CO47/'Balance Sheet'!CN47-1</f>
        <v>-1.2084640567908922E-2</v>
      </c>
      <c r="CP85" s="217">
        <f>'Balance Sheet'!CP47/'Balance Sheet'!CO47-1</f>
        <v>-0.15573362630666598</v>
      </c>
      <c r="CQ85" s="217">
        <f>'Balance Sheet'!CQ47/'Balance Sheet'!CP47-1</f>
        <v>-9.5041952930334683E-2</v>
      </c>
      <c r="CR85" s="217">
        <f>'Balance Sheet'!CR47/'Balance Sheet'!CQ47-1</f>
        <v>-0.17234684921017884</v>
      </c>
      <c r="CS85" s="217">
        <f>'Balance Sheet'!CS47/'Balance Sheet'!CR47-1</f>
        <v>0.33002146204052507</v>
      </c>
      <c r="CT85" s="217">
        <f>'Balance Sheet'!CT47/'Balance Sheet'!CS47-1</f>
        <v>4.5346245110955197E-2</v>
      </c>
      <c r="CU85" s="217">
        <f>'Balance Sheet'!CU47/'Balance Sheet'!CT47-1</f>
        <v>0.14629756321725051</v>
      </c>
      <c r="CV85" s="217">
        <f>'Balance Sheet'!CV47/'Balance Sheet'!CU47-1</f>
        <v>-2.1004520652466718E-3</v>
      </c>
      <c r="CW85" s="217">
        <f>'Balance Sheet'!CW47/'Balance Sheet'!CV47-1</f>
        <v>0.10607528245790898</v>
      </c>
      <c r="CX85" s="217">
        <f>'Balance Sheet'!CX47/'Balance Sheet'!CW47-1</f>
        <v>-0.20551414373088683</v>
      </c>
      <c r="CY85" s="217">
        <f>'Balance Sheet'!CY47/'Balance Sheet'!CX47-1</f>
        <v>0.10259306037257554</v>
      </c>
      <c r="CZ85" s="217">
        <f>'Balance Sheet'!CZ47/'Balance Sheet'!CY47-1</f>
        <v>-4.5969598518559529E-2</v>
      </c>
      <c r="DA85" s="216">
        <f t="shared" ref="DA85:DX85" si="50">(1+DA$17)*(1+DA$14)-1</f>
        <v>8.2383837964494777E-3</v>
      </c>
      <c r="DB85" s="216">
        <f t="shared" si="50"/>
        <v>8.3937254420483054E-3</v>
      </c>
      <c r="DC85" s="216">
        <f t="shared" si="50"/>
        <v>7.9057534988196121E-3</v>
      </c>
      <c r="DD85" s="216">
        <f t="shared" si="50"/>
        <v>7.6615015110583773E-3</v>
      </c>
      <c r="DE85" s="216">
        <f t="shared" si="50"/>
        <v>7.6615015110583773E-3</v>
      </c>
      <c r="DF85" s="216">
        <f t="shared" si="50"/>
        <v>7.1724639967380988E-3</v>
      </c>
      <c r="DG85" s="216">
        <f t="shared" si="50"/>
        <v>7.1724639967380988E-3</v>
      </c>
      <c r="DH85" s="216">
        <f t="shared" si="50"/>
        <v>7.4170717777328754E-3</v>
      </c>
      <c r="DI85" s="216">
        <f t="shared" si="50"/>
        <v>7.4170717777328754E-3</v>
      </c>
      <c r="DJ85" s="216">
        <f t="shared" si="50"/>
        <v>7.4170717777328754E-3</v>
      </c>
      <c r="DK85" s="216">
        <f t="shared" si="50"/>
        <v>7.4170717777328754E-3</v>
      </c>
      <c r="DL85" s="216">
        <f t="shared" si="50"/>
        <v>7.4170717777328754E-3</v>
      </c>
      <c r="DM85" s="216">
        <f t="shared" si="50"/>
        <v>7.4170717777328754E-3</v>
      </c>
      <c r="DN85" s="216">
        <f t="shared" si="50"/>
        <v>7.4170717777328754E-3</v>
      </c>
      <c r="DO85" s="216">
        <f t="shared" si="50"/>
        <v>7.4170717777328754E-3</v>
      </c>
      <c r="DP85" s="216">
        <f t="shared" si="50"/>
        <v>7.4170717777328754E-3</v>
      </c>
      <c r="DQ85" s="216">
        <f t="shared" si="50"/>
        <v>7.4170717777328754E-3</v>
      </c>
      <c r="DR85" s="216">
        <f t="shared" si="50"/>
        <v>7.4170717777328754E-3</v>
      </c>
      <c r="DS85" s="216">
        <f t="shared" si="50"/>
        <v>7.4170717777328754E-3</v>
      </c>
      <c r="DT85" s="216">
        <f t="shared" si="50"/>
        <v>7.4170717777328754E-3</v>
      </c>
      <c r="DU85" s="216">
        <f t="shared" si="50"/>
        <v>7.4170717777328754E-3</v>
      </c>
      <c r="DV85" s="216">
        <f t="shared" si="50"/>
        <v>7.4170717777328754E-3</v>
      </c>
      <c r="DW85" s="216">
        <f t="shared" si="50"/>
        <v>7.4170717777328754E-3</v>
      </c>
      <c r="DX85" s="216">
        <f t="shared" si="50"/>
        <v>7.4170717777328754E-3</v>
      </c>
    </row>
    <row r="86" spans="1:128">
      <c r="A86" s="41" t="s">
        <v>211</v>
      </c>
      <c r="B86" s="217"/>
      <c r="C86" s="217"/>
      <c r="D86" s="217"/>
      <c r="E86" s="217"/>
      <c r="F86" s="217"/>
      <c r="G86" s="217"/>
      <c r="H86" s="217"/>
      <c r="I86" s="217"/>
      <c r="J86" s="217" t="e">
        <f>'Balance Sheet'!J50/'Balance Sheet'!I58</f>
        <v>#DIV/0!</v>
      </c>
      <c r="K86" s="217" t="e">
        <f>'Balance Sheet'!K50/'Balance Sheet'!J58</f>
        <v>#DIV/0!</v>
      </c>
      <c r="L86" s="217" t="e">
        <f>'Balance Sheet'!L50/'Balance Sheet'!K58</f>
        <v>#DIV/0!</v>
      </c>
      <c r="M86" s="217" t="e">
        <f>'Balance Sheet'!M50/'Balance Sheet'!L58</f>
        <v>#DIV/0!</v>
      </c>
      <c r="N86" s="217" t="e">
        <f>'Balance Sheet'!N50/'Balance Sheet'!M58</f>
        <v>#DIV/0!</v>
      </c>
      <c r="O86" s="217">
        <f>'Balance Sheet'!O50/'Balance Sheet'!N58</f>
        <v>2.2627031219042876E-2</v>
      </c>
      <c r="P86" s="217">
        <f>'Balance Sheet'!P50/'Balance Sheet'!O58</f>
        <v>2.2830933989000893E-2</v>
      </c>
      <c r="Q86" s="219">
        <f>'Balance Sheet'!Q50/'Balance Sheet'!P58</f>
        <v>6.0607861234486027E-2</v>
      </c>
      <c r="R86" s="219">
        <f>'Balance Sheet'!R50/'Balance Sheet'!Q58</f>
        <v>4.8134861670021602E-2</v>
      </c>
      <c r="S86" s="219">
        <f>'Balance Sheet'!S50/'Balance Sheet'!R58</f>
        <v>5.4648129402017687E-2</v>
      </c>
      <c r="T86" s="217">
        <f>'Balance Sheet'!T50/'Balance Sheet'!S58</f>
        <v>4.3044381916176273E-2</v>
      </c>
      <c r="U86" s="216">
        <f ca="1">'Balance Sheet'!U50/'Balance Sheet'!T58</f>
        <v>7.229681818761878E-2</v>
      </c>
      <c r="V86" s="216">
        <f ca="1">'Balance Sheet'!V50/'Balance Sheet'!U58</f>
        <v>7.2634435754412224E-2</v>
      </c>
      <c r="W86" s="216">
        <f ca="1">'Balance Sheet'!W50/'Balance Sheet'!V58</f>
        <v>7.2643269750598261E-2</v>
      </c>
      <c r="X86" s="216">
        <f ca="1">'Balance Sheet'!X50/'Balance Sheet'!W58</f>
        <v>7.2475580237790771E-2</v>
      </c>
      <c r="Y86" s="216">
        <f ca="1">'Balance Sheet'!Y50/'Balance Sheet'!X58</f>
        <v>7.2405105506940071E-2</v>
      </c>
      <c r="Z86" s="216">
        <f ca="1">'Balance Sheet'!Z50/'Balance Sheet'!Y58</f>
        <v>7.236235297736314E-2</v>
      </c>
      <c r="AA86" s="213"/>
      <c r="AB86" s="41" t="str">
        <f>A86</f>
        <v>Minority interest, % of previous period's equity</v>
      </c>
      <c r="AC86" s="218"/>
      <c r="AD86" s="217" t="e">
        <f>'Balance Sheet'!AD50/'Balance Sheet'!AC58</f>
        <v>#DIV/0!</v>
      </c>
      <c r="AE86" s="217" t="e">
        <f>'Balance Sheet'!AE50/'Balance Sheet'!AD58</f>
        <v>#DIV/0!</v>
      </c>
      <c r="AF86" s="217" t="e">
        <f>'Balance Sheet'!AF50/'Balance Sheet'!AE58</f>
        <v>#DIV/0!</v>
      </c>
      <c r="AG86" s="217" t="e">
        <f>'Balance Sheet'!AG50/'Balance Sheet'!AF58</f>
        <v>#DIV/0!</v>
      </c>
      <c r="AH86" s="217" t="e">
        <f>'Balance Sheet'!AH50/'Balance Sheet'!AG58</f>
        <v>#DIV/0!</v>
      </c>
      <c r="AI86" s="217" t="e">
        <f>'Balance Sheet'!AI50/'Balance Sheet'!AH58</f>
        <v>#DIV/0!</v>
      </c>
      <c r="AJ86" s="217" t="e">
        <f>'Balance Sheet'!AJ50/'Balance Sheet'!AI58</f>
        <v>#DIV/0!</v>
      </c>
      <c r="AK86" s="217" t="e">
        <f>'Balance Sheet'!AK50/'Balance Sheet'!AJ58</f>
        <v>#DIV/0!</v>
      </c>
      <c r="AL86" s="217" t="e">
        <f>'Balance Sheet'!AL50/'Balance Sheet'!AK58</f>
        <v>#DIV/0!</v>
      </c>
      <c r="AM86" s="217" t="e">
        <f>'Balance Sheet'!AM50/'Balance Sheet'!AL58</f>
        <v>#DIV/0!</v>
      </c>
      <c r="AN86" s="217" t="e">
        <f>'Balance Sheet'!AN50/'Balance Sheet'!AM58</f>
        <v>#DIV/0!</v>
      </c>
      <c r="AO86" s="217" t="e">
        <f>'Balance Sheet'!AO50/'Balance Sheet'!AN58</f>
        <v>#DIV/0!</v>
      </c>
      <c r="AP86" s="217" t="e">
        <f>'Balance Sheet'!AP50/'Balance Sheet'!AO58</f>
        <v>#DIV/0!</v>
      </c>
      <c r="AQ86" s="217" t="e">
        <f>'Balance Sheet'!AQ50/'Balance Sheet'!AP58</f>
        <v>#DIV/0!</v>
      </c>
      <c r="AR86" s="217" t="e">
        <f>'Balance Sheet'!AR50/'Balance Sheet'!AQ58</f>
        <v>#DIV/0!</v>
      </c>
      <c r="AS86" s="217" t="e">
        <f>'Balance Sheet'!AS50/'Balance Sheet'!AR58</f>
        <v>#DIV/0!</v>
      </c>
      <c r="AT86" s="217" t="e">
        <f>'Balance Sheet'!AT50/'Balance Sheet'!AS58</f>
        <v>#DIV/0!</v>
      </c>
      <c r="AU86" s="217" t="e">
        <f>'Balance Sheet'!AU50/'Balance Sheet'!AT58</f>
        <v>#DIV/0!</v>
      </c>
      <c r="AV86" s="217" t="e">
        <f>'Balance Sheet'!AV50/'Balance Sheet'!AU58</f>
        <v>#DIV/0!</v>
      </c>
      <c r="AW86" s="217" t="e">
        <f>'Balance Sheet'!AW50/'Balance Sheet'!AV58</f>
        <v>#DIV/0!</v>
      </c>
      <c r="AX86" s="217" t="e">
        <f>'Balance Sheet'!AX50/'Balance Sheet'!AW58</f>
        <v>#DIV/0!</v>
      </c>
      <c r="AY86" s="217" t="e">
        <f>'Balance Sheet'!AY50/'Balance Sheet'!AX58</f>
        <v>#DIV/0!</v>
      </c>
      <c r="AZ86" s="217" t="e">
        <f>'Balance Sheet'!AZ50/'Balance Sheet'!AY58</f>
        <v>#DIV/0!</v>
      </c>
      <c r="BA86" s="217" t="e">
        <f>'Balance Sheet'!BA50/'Balance Sheet'!AZ58</f>
        <v>#DIV/0!</v>
      </c>
      <c r="BB86" s="217" t="e">
        <f>'Balance Sheet'!BB50/'Balance Sheet'!BA58</f>
        <v>#DIV/0!</v>
      </c>
      <c r="BC86" s="217" t="e">
        <f>'Balance Sheet'!BC50/'Balance Sheet'!BB58</f>
        <v>#DIV/0!</v>
      </c>
      <c r="BD86" s="217" t="e">
        <f>'Balance Sheet'!BD50/'Balance Sheet'!BC58</f>
        <v>#DIV/0!</v>
      </c>
      <c r="BE86" s="217" t="e">
        <f>'Balance Sheet'!BE50/'Balance Sheet'!BD58</f>
        <v>#DIV/0!</v>
      </c>
      <c r="BF86" s="217" t="e">
        <f>'Balance Sheet'!BF50/'Balance Sheet'!BE58</f>
        <v>#DIV/0!</v>
      </c>
      <c r="BG86" s="217" t="e">
        <f>'Balance Sheet'!BG50/'Balance Sheet'!BF58</f>
        <v>#DIV/0!</v>
      </c>
      <c r="BH86" s="217" t="e">
        <f>'Balance Sheet'!BH50/'Balance Sheet'!BG58</f>
        <v>#DIV/0!</v>
      </c>
      <c r="BI86" s="217" t="e">
        <f>'Balance Sheet'!BI50/'Balance Sheet'!BH58</f>
        <v>#DIV/0!</v>
      </c>
      <c r="BJ86" s="217" t="e">
        <f>'Balance Sheet'!BJ50/'Balance Sheet'!BI58</f>
        <v>#DIV/0!</v>
      </c>
      <c r="BK86" s="217" t="e">
        <f>'Balance Sheet'!BK50/'Balance Sheet'!BJ58</f>
        <v>#DIV/0!</v>
      </c>
      <c r="BL86" s="217" t="e">
        <f>'Balance Sheet'!BL50/'Balance Sheet'!BK58</f>
        <v>#DIV/0!</v>
      </c>
      <c r="BM86" s="217" t="e">
        <f>'Balance Sheet'!BM50/'Balance Sheet'!BL58</f>
        <v>#DIV/0!</v>
      </c>
      <c r="BN86" s="217" t="e">
        <f>'Balance Sheet'!BN50/'Balance Sheet'!BM58</f>
        <v>#DIV/0!</v>
      </c>
      <c r="BO86" s="217" t="e">
        <f>'Balance Sheet'!BO50/'Balance Sheet'!BN58</f>
        <v>#DIV/0!</v>
      </c>
      <c r="BP86" s="217" t="e">
        <f>'Balance Sheet'!BP50/'Balance Sheet'!BO58</f>
        <v>#DIV/0!</v>
      </c>
      <c r="BQ86" s="217" t="e">
        <f>'Balance Sheet'!BQ50/'Balance Sheet'!BP58</f>
        <v>#DIV/0!</v>
      </c>
      <c r="BR86" s="217" t="e">
        <f>'Balance Sheet'!BR50/'Balance Sheet'!BQ58</f>
        <v>#DIV/0!</v>
      </c>
      <c r="BS86" s="217" t="e">
        <f>'Balance Sheet'!BS50/'Balance Sheet'!BR58</f>
        <v>#DIV/0!</v>
      </c>
      <c r="BT86" s="217" t="e">
        <f>'Balance Sheet'!BT50/'Balance Sheet'!BS58</f>
        <v>#DIV/0!</v>
      </c>
      <c r="BU86" s="217" t="e">
        <f>'Balance Sheet'!BU50/'Balance Sheet'!BT58</f>
        <v>#DIV/0!</v>
      </c>
      <c r="BV86" s="217" t="e">
        <f>'Balance Sheet'!BV50/'Balance Sheet'!BU58</f>
        <v>#DIV/0!</v>
      </c>
      <c r="BW86" s="217" t="e">
        <f>'Balance Sheet'!BW50/'Balance Sheet'!BV58</f>
        <v>#DIV/0!</v>
      </c>
      <c r="BX86" s="217" t="e">
        <f>'Balance Sheet'!BX50/'Balance Sheet'!BW58</f>
        <v>#DIV/0!</v>
      </c>
      <c r="BY86" s="217" t="e">
        <f>'Balance Sheet'!BY50/'Balance Sheet'!BX58</f>
        <v>#DIV/0!</v>
      </c>
      <c r="BZ86" s="217">
        <f>'Balance Sheet'!BZ50/'Balance Sheet'!BY58</f>
        <v>7.9130825278224404E-2</v>
      </c>
      <c r="CA86" s="217">
        <f>'Balance Sheet'!CA50/'Balance Sheet'!BZ58</f>
        <v>8.5103036370019092E-2</v>
      </c>
      <c r="CB86" s="217">
        <f>'Balance Sheet'!CB50/'Balance Sheet'!CA58</f>
        <v>8.77346870386536E-2</v>
      </c>
      <c r="CC86" s="217">
        <f>'Balance Sheet'!CC50/'Balance Sheet'!CB58</f>
        <v>7.7209722680755988E-2</v>
      </c>
      <c r="CD86" s="217">
        <f>'Balance Sheet'!CD50/'Balance Sheet'!CC58</f>
        <v>8.4932280950037603E-2</v>
      </c>
      <c r="CE86" s="217">
        <f>'Balance Sheet'!CE50/'Balance Sheet'!CD58</f>
        <v>9.3447612662704641E-2</v>
      </c>
      <c r="CF86" s="217">
        <f>'Balance Sheet'!CF50/'Balance Sheet'!CE58</f>
        <v>2.0158997141282727E-2</v>
      </c>
      <c r="CG86" s="217">
        <f>'Balance Sheet'!CG50/'Balance Sheet'!CF58</f>
        <v>1.9154876797852861E-2</v>
      </c>
      <c r="CH86" s="217">
        <f>'Balance Sheet'!CH50/'Balance Sheet'!CG58</f>
        <v>2.0163289642686631E-2</v>
      </c>
      <c r="CI86" s="217">
        <f>'Balance Sheet'!CI50/'Balance Sheet'!CH58</f>
        <v>2.0587880343054702E-2</v>
      </c>
      <c r="CJ86" s="217">
        <f>'Balance Sheet'!CJ50/'Balance Sheet'!CI58</f>
        <v>2.1011952083421784E-2</v>
      </c>
      <c r="CK86" s="217">
        <f>'Balance Sheet'!CK50/'Balance Sheet'!CJ58</f>
        <v>2.2072884626495932E-2</v>
      </c>
      <c r="CL86" s="217">
        <f>'Balance Sheet'!CL50/'Balance Sheet'!CK58</f>
        <v>3.0380132428199747E-2</v>
      </c>
      <c r="CM86" s="217">
        <f>'Balance Sheet'!CM50/'Balance Sheet'!CL58</f>
        <v>3.3883024058759148E-2</v>
      </c>
      <c r="CN86" s="217">
        <f>'Balance Sheet'!CN50/'Balance Sheet'!CM58</f>
        <v>5.2977163327808781E-2</v>
      </c>
      <c r="CO86" s="217">
        <f>'Balance Sheet'!CO50/'Balance Sheet'!CN58</f>
        <v>4.7729200555529268E-2</v>
      </c>
      <c r="CP86" s="217">
        <f>'Balance Sheet'!CP50/'Balance Sheet'!CO58</f>
        <v>4.8307506912563643E-2</v>
      </c>
      <c r="CQ86" s="217">
        <f>'Balance Sheet'!CQ50/'Balance Sheet'!CP58</f>
        <v>4.7892416357856515E-2</v>
      </c>
      <c r="CR86" s="217">
        <f>'Balance Sheet'!CR50/'Balance Sheet'!CQ58</f>
        <v>4.4962744318404663E-2</v>
      </c>
      <c r="CS86" s="217">
        <f>'Balance Sheet'!CS50/'Balance Sheet'!CR58</f>
        <v>7.3539036970241028E-2</v>
      </c>
      <c r="CT86" s="217">
        <f>'Balance Sheet'!CT50/'Balance Sheet'!CS58</f>
        <v>6.9087658294802359E-2</v>
      </c>
      <c r="CU86" s="217">
        <f>'Balance Sheet'!CU50/'Balance Sheet'!CT58</f>
        <v>5.198663769167873E-2</v>
      </c>
      <c r="CV86" s="217">
        <f>'Balance Sheet'!CV50/'Balance Sheet'!CU58</f>
        <v>4.8200949884565074E-2</v>
      </c>
      <c r="CW86" s="217">
        <f>'Balance Sheet'!CW50/'Balance Sheet'!CV58</f>
        <v>4.3000889519655812E-2</v>
      </c>
      <c r="CX86" s="217">
        <f>'Balance Sheet'!CX50/'Balance Sheet'!CW58</f>
        <v>4.2368726839307973E-2</v>
      </c>
      <c r="CY86" s="217">
        <f>'Balance Sheet'!CY50/'Balance Sheet'!CX58</f>
        <v>4.0186274914445437E-2</v>
      </c>
      <c r="CZ86" s="217">
        <f>'Balance Sheet'!CZ50/'Balance Sheet'!CY58</f>
        <v>3.9710089952968514E-2</v>
      </c>
      <c r="DA86" s="216">
        <v>6.5000000000000002E-2</v>
      </c>
      <c r="DB86" s="216">
        <v>6.5000000000000002E-2</v>
      </c>
      <c r="DC86" s="216">
        <v>6.5000000000000002E-2</v>
      </c>
      <c r="DD86" s="216">
        <v>6.5000000000000002E-2</v>
      </c>
      <c r="DE86" s="216">
        <v>6.5000000000000002E-2</v>
      </c>
      <c r="DF86" s="216">
        <v>6.5000000000000002E-2</v>
      </c>
      <c r="DG86" s="216">
        <v>6.5000000000000002E-2</v>
      </c>
      <c r="DH86" s="216">
        <v>6.5000000000000002E-2</v>
      </c>
      <c r="DI86" s="216">
        <v>6.5000000000000002E-2</v>
      </c>
      <c r="DJ86" s="216">
        <v>6.5000000000000002E-2</v>
      </c>
      <c r="DK86" s="216">
        <v>6.5000000000000002E-2</v>
      </c>
      <c r="DL86" s="216">
        <v>6.5000000000000002E-2</v>
      </c>
      <c r="DM86" s="216">
        <v>6.5000000000000002E-2</v>
      </c>
      <c r="DN86" s="216">
        <v>6.5000000000000002E-2</v>
      </c>
      <c r="DO86" s="216">
        <v>6.5000000000000002E-2</v>
      </c>
      <c r="DP86" s="216">
        <v>6.5000000000000002E-2</v>
      </c>
      <c r="DQ86" s="216">
        <v>6.5000000000000002E-2</v>
      </c>
      <c r="DR86" s="216">
        <v>6.5000000000000002E-2</v>
      </c>
      <c r="DS86" s="216">
        <v>6.5000000000000002E-2</v>
      </c>
      <c r="DT86" s="216">
        <v>6.5000000000000002E-2</v>
      </c>
      <c r="DU86" s="216">
        <v>6.5000000000000002E-2</v>
      </c>
      <c r="DV86" s="216">
        <v>6.5000000000000002E-2</v>
      </c>
      <c r="DW86" s="216">
        <v>6.5000000000000002E-2</v>
      </c>
      <c r="DX86" s="216">
        <v>6.5000000000000002E-2</v>
      </c>
    </row>
    <row r="87" spans="1:128">
      <c r="A87" s="213"/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5"/>
      <c r="R87" s="215"/>
      <c r="S87" s="214"/>
      <c r="T87" s="214"/>
      <c r="U87" s="214"/>
      <c r="V87" s="214"/>
      <c r="W87" s="214"/>
      <c r="X87" s="214"/>
      <c r="Y87" s="214"/>
      <c r="Z87" s="214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3"/>
      <c r="BT87" s="213"/>
      <c r="BU87" s="213"/>
      <c r="BV87" s="213"/>
      <c r="BW87" s="213"/>
      <c r="BX87" s="213"/>
      <c r="BY87" s="213"/>
      <c r="BZ87" s="213"/>
      <c r="CA87" s="213"/>
      <c r="CB87" s="213"/>
      <c r="CC87" s="213"/>
      <c r="CD87" s="213"/>
      <c r="CE87" s="213"/>
      <c r="CF87" s="213"/>
      <c r="CG87" s="213"/>
      <c r="CH87" s="213"/>
      <c r="CI87" s="213"/>
      <c r="CJ87" s="213"/>
      <c r="CK87" s="213"/>
      <c r="CL87" s="213"/>
      <c r="CM87" s="213"/>
      <c r="CN87" s="213"/>
      <c r="CO87" s="213"/>
      <c r="CP87" s="213"/>
      <c r="CQ87" s="213"/>
      <c r="CR87" s="213"/>
      <c r="CS87" s="213"/>
      <c r="CT87" s="213"/>
      <c r="CU87" s="213"/>
      <c r="CV87" s="213"/>
      <c r="CW87" s="213"/>
      <c r="CX87" s="213"/>
      <c r="CY87" s="213"/>
      <c r="CZ87" s="213"/>
      <c r="DA87" s="213"/>
      <c r="DB87" s="213"/>
      <c r="DC87" s="213"/>
      <c r="DD87" s="213"/>
      <c r="DE87" s="213"/>
      <c r="DF87" s="213"/>
      <c r="DG87" s="213"/>
      <c r="DH87" s="213"/>
      <c r="DI87" s="213"/>
      <c r="DJ87" s="213"/>
      <c r="DK87" s="213"/>
      <c r="DL87" s="213"/>
      <c r="DM87" s="213"/>
      <c r="DN87" s="213"/>
      <c r="DO87" s="213"/>
      <c r="DP87" s="213"/>
      <c r="DQ87" s="213"/>
      <c r="DR87" s="213"/>
      <c r="DS87" s="213"/>
      <c r="DT87" s="213"/>
      <c r="DU87" s="213"/>
      <c r="DV87" s="213"/>
      <c r="DW87" s="213"/>
      <c r="DX87" s="213"/>
    </row>
    <row r="88" spans="1:128">
      <c r="A88" s="213"/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5"/>
      <c r="R88" s="215"/>
      <c r="S88" s="214"/>
      <c r="T88" s="214"/>
      <c r="U88" s="214"/>
      <c r="V88" s="214"/>
      <c r="W88" s="214"/>
      <c r="X88" s="214"/>
      <c r="Y88" s="214"/>
      <c r="Z88" s="214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  <c r="BI88" s="213"/>
      <c r="BJ88" s="213"/>
      <c r="BK88" s="213"/>
      <c r="BL88" s="213"/>
      <c r="BM88" s="213"/>
      <c r="BN88" s="213"/>
      <c r="BO88" s="213"/>
      <c r="BP88" s="213"/>
      <c r="BQ88" s="213"/>
      <c r="BR88" s="213"/>
      <c r="BS88" s="213"/>
      <c r="BT88" s="213"/>
      <c r="BU88" s="213"/>
      <c r="BV88" s="213"/>
      <c r="BW88" s="213"/>
      <c r="BX88" s="213"/>
      <c r="BY88" s="213"/>
      <c r="BZ88" s="213"/>
      <c r="CA88" s="213"/>
      <c r="CB88" s="213"/>
      <c r="CC88" s="213"/>
      <c r="CD88" s="213"/>
      <c r="CE88" s="213"/>
      <c r="CF88" s="213"/>
      <c r="CG88" s="213"/>
      <c r="CH88" s="213"/>
      <c r="CI88" s="213"/>
      <c r="CJ88" s="213"/>
      <c r="CK88" s="213"/>
      <c r="CL88" s="213"/>
      <c r="CM88" s="213"/>
      <c r="CN88" s="213"/>
      <c r="CO88" s="213"/>
      <c r="CP88" s="213"/>
      <c r="CQ88" s="213"/>
      <c r="CR88" s="213"/>
      <c r="CS88" s="213"/>
      <c r="CT88" s="213"/>
      <c r="CU88" s="213"/>
      <c r="CV88" s="213"/>
      <c r="CW88" s="213"/>
      <c r="CX88" s="213"/>
      <c r="CY88" s="213"/>
      <c r="CZ88" s="213"/>
      <c r="DA88" s="213"/>
      <c r="DB88" s="213"/>
      <c r="DC88" s="213"/>
      <c r="DD88" s="213"/>
      <c r="DE88" s="213"/>
      <c r="DF88" s="213"/>
      <c r="DG88" s="213"/>
      <c r="DH88" s="213"/>
      <c r="DI88" s="213"/>
      <c r="DJ88" s="213"/>
      <c r="DK88" s="213"/>
      <c r="DL88" s="213"/>
      <c r="DM88" s="213"/>
      <c r="DN88" s="213"/>
      <c r="DO88" s="213"/>
      <c r="DP88" s="213"/>
      <c r="DQ88" s="213"/>
      <c r="DR88" s="213"/>
      <c r="DS88" s="213"/>
      <c r="DT88" s="213"/>
      <c r="DU88" s="213"/>
      <c r="DV88" s="213"/>
      <c r="DW88" s="213"/>
      <c r="DX88" s="213"/>
    </row>
    <row r="89" spans="1:128">
      <c r="A89" s="213"/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5"/>
      <c r="R89" s="215"/>
      <c r="S89" s="214"/>
      <c r="T89" s="214"/>
      <c r="U89" s="214"/>
      <c r="V89" s="214"/>
      <c r="W89" s="214"/>
      <c r="X89" s="214"/>
      <c r="Y89" s="214"/>
      <c r="Z89" s="214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</row>
    <row r="90" spans="1:128">
      <c r="A90" s="213"/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5"/>
      <c r="R90" s="215"/>
      <c r="S90" s="214"/>
      <c r="T90" s="214"/>
      <c r="U90" s="214"/>
      <c r="V90" s="214"/>
      <c r="W90" s="214"/>
      <c r="X90" s="214"/>
      <c r="Y90" s="214"/>
      <c r="Z90" s="214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  <c r="BI90" s="213"/>
      <c r="BJ90" s="213"/>
      <c r="BK90" s="213"/>
      <c r="BL90" s="213"/>
      <c r="BM90" s="213"/>
      <c r="BN90" s="213"/>
      <c r="BO90" s="213"/>
      <c r="BP90" s="213"/>
      <c r="BQ90" s="213"/>
      <c r="BR90" s="213"/>
      <c r="BS90" s="213"/>
      <c r="BT90" s="213"/>
      <c r="BU90" s="213"/>
      <c r="BV90" s="213"/>
      <c r="BW90" s="213"/>
      <c r="BX90" s="213"/>
      <c r="BY90" s="213"/>
      <c r="BZ90" s="213"/>
      <c r="CA90" s="213"/>
      <c r="CB90" s="213"/>
      <c r="CC90" s="213"/>
      <c r="CD90" s="213"/>
      <c r="CE90" s="213"/>
      <c r="CF90" s="213"/>
      <c r="CG90" s="213"/>
      <c r="CH90" s="213"/>
      <c r="CI90" s="213"/>
      <c r="CJ90" s="213"/>
      <c r="CK90" s="213"/>
      <c r="CL90" s="213"/>
      <c r="CM90" s="213"/>
      <c r="CN90" s="213"/>
      <c r="CO90" s="213"/>
      <c r="CP90" s="213"/>
      <c r="CQ90" s="213"/>
      <c r="CR90" s="213"/>
      <c r="CS90" s="213"/>
      <c r="CT90" s="213"/>
      <c r="CU90" s="213"/>
      <c r="CV90" s="213"/>
      <c r="CW90" s="213"/>
      <c r="CX90" s="213"/>
      <c r="CY90" s="213"/>
      <c r="CZ90" s="213"/>
      <c r="DA90" s="213"/>
      <c r="DB90" s="213"/>
      <c r="DC90" s="213"/>
      <c r="DD90" s="213"/>
      <c r="DE90" s="213"/>
      <c r="DF90" s="213"/>
      <c r="DG90" s="213"/>
      <c r="DH90" s="213"/>
      <c r="DI90" s="213"/>
      <c r="DJ90" s="213"/>
      <c r="DK90" s="213"/>
      <c r="DL90" s="213"/>
      <c r="DM90" s="213"/>
      <c r="DN90" s="213"/>
      <c r="DO90" s="213"/>
      <c r="DP90" s="213"/>
      <c r="DQ90" s="213"/>
      <c r="DR90" s="213"/>
      <c r="DS90" s="213"/>
      <c r="DT90" s="213"/>
      <c r="DU90" s="213"/>
      <c r="DV90" s="213"/>
      <c r="DW90" s="213"/>
      <c r="DX90" s="213"/>
    </row>
    <row r="91" spans="1:128">
      <c r="A91" s="213"/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5"/>
      <c r="R91" s="215"/>
      <c r="S91" s="214"/>
      <c r="T91" s="214"/>
      <c r="U91" s="214"/>
      <c r="V91" s="214"/>
      <c r="W91" s="214"/>
      <c r="X91" s="214"/>
      <c r="Y91" s="214"/>
      <c r="Z91" s="214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  <c r="BI91" s="213"/>
      <c r="BJ91" s="213"/>
      <c r="BK91" s="213"/>
      <c r="BL91" s="213"/>
      <c r="BM91" s="213"/>
      <c r="BN91" s="213"/>
      <c r="BO91" s="213"/>
      <c r="BP91" s="213"/>
      <c r="BQ91" s="213"/>
      <c r="BR91" s="213"/>
      <c r="BS91" s="213"/>
      <c r="BT91" s="213"/>
      <c r="BU91" s="213"/>
      <c r="BV91" s="213"/>
      <c r="BW91" s="213"/>
      <c r="BX91" s="213"/>
      <c r="BY91" s="213"/>
      <c r="BZ91" s="213"/>
      <c r="CA91" s="213"/>
      <c r="CB91" s="213"/>
      <c r="CC91" s="213"/>
      <c r="CD91" s="213"/>
      <c r="CE91" s="213"/>
      <c r="CF91" s="213"/>
      <c r="CG91" s="213"/>
      <c r="CH91" s="213"/>
      <c r="CI91" s="213"/>
      <c r="CJ91" s="213"/>
      <c r="CK91" s="213"/>
      <c r="CL91" s="213"/>
      <c r="CM91" s="213"/>
      <c r="CN91" s="213"/>
      <c r="CO91" s="213"/>
      <c r="CP91" s="213"/>
      <c r="CQ91" s="213"/>
      <c r="CR91" s="213"/>
      <c r="CS91" s="213"/>
      <c r="CT91" s="213"/>
      <c r="CU91" s="213"/>
      <c r="CV91" s="213"/>
      <c r="CW91" s="213"/>
      <c r="CX91" s="213"/>
      <c r="CY91" s="213"/>
      <c r="CZ91" s="213"/>
      <c r="DA91" s="213"/>
      <c r="DB91" s="213"/>
      <c r="DC91" s="213"/>
      <c r="DD91" s="213"/>
      <c r="DE91" s="213"/>
      <c r="DF91" s="213"/>
      <c r="DG91" s="213"/>
      <c r="DH91" s="213"/>
      <c r="DI91" s="213"/>
      <c r="DJ91" s="213"/>
      <c r="DK91" s="213"/>
      <c r="DL91" s="213"/>
      <c r="DM91" s="213"/>
      <c r="DN91" s="213"/>
      <c r="DO91" s="213"/>
      <c r="DP91" s="213"/>
      <c r="DQ91" s="213"/>
      <c r="DR91" s="213"/>
      <c r="DS91" s="213"/>
      <c r="DT91" s="213"/>
      <c r="DU91" s="213"/>
      <c r="DV91" s="213"/>
      <c r="DW91" s="213"/>
      <c r="DX91" s="213"/>
    </row>
    <row r="92" spans="1:128">
      <c r="A92" s="213"/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5"/>
      <c r="R92" s="215"/>
      <c r="S92" s="214"/>
      <c r="T92" s="214"/>
      <c r="U92" s="214"/>
      <c r="V92" s="214"/>
      <c r="W92" s="214"/>
      <c r="X92" s="214"/>
      <c r="Y92" s="214"/>
      <c r="Z92" s="214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  <c r="BI92" s="213"/>
      <c r="BJ92" s="213"/>
      <c r="BK92" s="213"/>
      <c r="BL92" s="213"/>
      <c r="BM92" s="213"/>
      <c r="BN92" s="213"/>
      <c r="BO92" s="213"/>
      <c r="BP92" s="213"/>
      <c r="BQ92" s="213"/>
      <c r="BR92" s="213"/>
      <c r="BS92" s="213"/>
      <c r="BT92" s="213"/>
      <c r="BU92" s="213"/>
      <c r="BV92" s="213"/>
      <c r="BW92" s="213"/>
      <c r="BX92" s="213"/>
      <c r="BY92" s="213"/>
      <c r="BZ92" s="213"/>
      <c r="CA92" s="213"/>
      <c r="CB92" s="213"/>
      <c r="CC92" s="213"/>
      <c r="CD92" s="213"/>
      <c r="CE92" s="213"/>
      <c r="CF92" s="213"/>
      <c r="CG92" s="213"/>
      <c r="CH92" s="213"/>
      <c r="CI92" s="213"/>
      <c r="CJ92" s="213"/>
      <c r="CK92" s="213"/>
      <c r="CL92" s="213"/>
      <c r="CM92" s="213"/>
      <c r="CN92" s="213"/>
      <c r="CO92" s="213"/>
      <c r="CP92" s="213"/>
      <c r="CQ92" s="213"/>
      <c r="CR92" s="213"/>
      <c r="CS92" s="213"/>
      <c r="CT92" s="213"/>
      <c r="CU92" s="213"/>
      <c r="CV92" s="213"/>
      <c r="CW92" s="213"/>
      <c r="CX92" s="213"/>
      <c r="CY92" s="213"/>
      <c r="CZ92" s="213"/>
      <c r="DA92" s="213"/>
      <c r="DB92" s="213"/>
      <c r="DC92" s="213"/>
      <c r="DD92" s="213"/>
      <c r="DE92" s="213"/>
      <c r="DF92" s="213"/>
      <c r="DG92" s="213"/>
      <c r="DH92" s="213"/>
      <c r="DI92" s="213"/>
      <c r="DJ92" s="213"/>
      <c r="DK92" s="213"/>
      <c r="DL92" s="213"/>
      <c r="DM92" s="213"/>
      <c r="DN92" s="213"/>
      <c r="DO92" s="213"/>
      <c r="DP92" s="213"/>
      <c r="DQ92" s="213"/>
      <c r="DR92" s="213"/>
      <c r="DS92" s="213"/>
      <c r="DT92" s="213"/>
      <c r="DU92" s="213"/>
      <c r="DV92" s="213"/>
      <c r="DW92" s="213"/>
      <c r="DX92" s="213"/>
    </row>
    <row r="93" spans="1:128">
      <c r="A93" s="213"/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5"/>
      <c r="R93" s="215"/>
      <c r="S93" s="214"/>
      <c r="T93" s="214"/>
      <c r="U93" s="214"/>
      <c r="V93" s="214"/>
      <c r="W93" s="214"/>
      <c r="X93" s="214"/>
      <c r="Y93" s="214"/>
      <c r="Z93" s="214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  <c r="BI93" s="213"/>
      <c r="BJ93" s="213"/>
      <c r="BK93" s="213"/>
      <c r="BL93" s="213"/>
      <c r="BM93" s="213"/>
      <c r="BN93" s="213"/>
      <c r="BO93" s="213"/>
      <c r="BP93" s="213"/>
      <c r="BQ93" s="213"/>
      <c r="BR93" s="213"/>
      <c r="BS93" s="213"/>
      <c r="BT93" s="213"/>
      <c r="BU93" s="213"/>
      <c r="BV93" s="213"/>
      <c r="BW93" s="213"/>
      <c r="BX93" s="213"/>
      <c r="BY93" s="213"/>
      <c r="BZ93" s="213"/>
      <c r="CA93" s="213"/>
      <c r="CB93" s="213"/>
      <c r="CC93" s="213"/>
      <c r="CD93" s="213"/>
      <c r="CE93" s="213"/>
      <c r="CF93" s="213"/>
      <c r="CG93" s="213"/>
      <c r="CH93" s="213"/>
      <c r="CI93" s="213"/>
      <c r="CJ93" s="213"/>
      <c r="CK93" s="213"/>
      <c r="CL93" s="213"/>
      <c r="CM93" s="213"/>
      <c r="CN93" s="213"/>
      <c r="CO93" s="213"/>
      <c r="CP93" s="213"/>
      <c r="CQ93" s="213"/>
      <c r="CR93" s="213"/>
      <c r="CS93" s="213"/>
      <c r="CT93" s="213"/>
      <c r="CU93" s="213"/>
      <c r="CV93" s="213"/>
      <c r="CW93" s="213"/>
      <c r="CX93" s="213"/>
      <c r="CY93" s="213"/>
      <c r="CZ93" s="213"/>
      <c r="DA93" s="213"/>
      <c r="DB93" s="213"/>
      <c r="DC93" s="213"/>
      <c r="DD93" s="213"/>
      <c r="DE93" s="213"/>
      <c r="DF93" s="213"/>
      <c r="DG93" s="213"/>
      <c r="DH93" s="213"/>
      <c r="DI93" s="213"/>
      <c r="DJ93" s="213"/>
      <c r="DK93" s="213"/>
      <c r="DL93" s="213"/>
      <c r="DM93" s="213"/>
      <c r="DN93" s="213"/>
      <c r="DO93" s="213"/>
      <c r="DP93" s="213"/>
      <c r="DQ93" s="213"/>
      <c r="DR93" s="213"/>
      <c r="DS93" s="213"/>
      <c r="DT93" s="213"/>
      <c r="DU93" s="213"/>
      <c r="DV93" s="213"/>
      <c r="DW93" s="213"/>
      <c r="DX93" s="213"/>
    </row>
    <row r="94" spans="1:128">
      <c r="A94" s="213"/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5"/>
      <c r="R94" s="215"/>
      <c r="S94" s="214"/>
      <c r="T94" s="214"/>
      <c r="U94" s="214"/>
      <c r="V94" s="214"/>
      <c r="W94" s="214"/>
      <c r="X94" s="214"/>
      <c r="Y94" s="214"/>
      <c r="Z94" s="214"/>
      <c r="AA94" s="213"/>
      <c r="AB94" s="213"/>
      <c r="AC94" s="213"/>
      <c r="AD94" s="213"/>
      <c r="AE94" s="213"/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  <c r="BI94" s="213"/>
      <c r="BJ94" s="213"/>
      <c r="BK94" s="213"/>
      <c r="BL94" s="213"/>
      <c r="BM94" s="213"/>
      <c r="BN94" s="213"/>
      <c r="BO94" s="213"/>
      <c r="BP94" s="213"/>
      <c r="BQ94" s="213"/>
      <c r="BR94" s="213"/>
      <c r="BS94" s="213"/>
      <c r="BT94" s="213"/>
      <c r="BU94" s="213"/>
      <c r="BV94" s="213"/>
      <c r="BW94" s="213"/>
      <c r="BX94" s="213"/>
      <c r="BY94" s="213"/>
      <c r="BZ94" s="213"/>
      <c r="CA94" s="213"/>
      <c r="CB94" s="213"/>
      <c r="CC94" s="213"/>
      <c r="CD94" s="213"/>
      <c r="CE94" s="213"/>
      <c r="CF94" s="213"/>
      <c r="CG94" s="213"/>
      <c r="CH94" s="213"/>
      <c r="CI94" s="213"/>
      <c r="CJ94" s="213"/>
      <c r="CK94" s="213"/>
      <c r="CL94" s="213"/>
      <c r="CM94" s="213"/>
      <c r="CN94" s="213"/>
      <c r="CO94" s="213"/>
      <c r="CP94" s="213"/>
      <c r="CQ94" s="213"/>
      <c r="CR94" s="213"/>
      <c r="CS94" s="213"/>
      <c r="CT94" s="213"/>
      <c r="CU94" s="213"/>
      <c r="CV94" s="213"/>
      <c r="CW94" s="213"/>
      <c r="CX94" s="213"/>
      <c r="CY94" s="213"/>
      <c r="CZ94" s="213"/>
      <c r="DA94" s="213"/>
      <c r="DB94" s="213"/>
      <c r="DC94" s="213"/>
      <c r="DD94" s="213"/>
      <c r="DE94" s="213"/>
      <c r="DF94" s="213"/>
      <c r="DG94" s="213"/>
      <c r="DH94" s="213"/>
      <c r="DI94" s="213"/>
      <c r="DJ94" s="213"/>
      <c r="DK94" s="213"/>
      <c r="DL94" s="213"/>
      <c r="DM94" s="213"/>
      <c r="DN94" s="213"/>
      <c r="DO94" s="213"/>
      <c r="DP94" s="213"/>
      <c r="DQ94" s="213"/>
      <c r="DR94" s="213"/>
      <c r="DS94" s="213"/>
      <c r="DT94" s="213"/>
      <c r="DU94" s="213"/>
      <c r="DV94" s="213"/>
      <c r="DW94" s="213"/>
      <c r="DX94" s="213"/>
    </row>
    <row r="95" spans="1:128">
      <c r="A95" s="213"/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5"/>
      <c r="R95" s="215"/>
      <c r="S95" s="214"/>
      <c r="T95" s="214"/>
      <c r="U95" s="214"/>
      <c r="V95" s="214"/>
      <c r="W95" s="214"/>
      <c r="X95" s="214"/>
      <c r="Y95" s="214"/>
      <c r="Z95" s="214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  <c r="BI95" s="213"/>
      <c r="BJ95" s="213"/>
      <c r="BK95" s="213"/>
      <c r="BL95" s="213"/>
      <c r="BM95" s="213"/>
      <c r="BN95" s="213"/>
      <c r="BO95" s="213"/>
      <c r="BP95" s="213"/>
      <c r="BQ95" s="213"/>
      <c r="BR95" s="213"/>
      <c r="BS95" s="213"/>
      <c r="BT95" s="213"/>
      <c r="BU95" s="213"/>
      <c r="BV95" s="213"/>
      <c r="BW95" s="213"/>
      <c r="BX95" s="213"/>
      <c r="BY95" s="213"/>
      <c r="BZ95" s="213"/>
      <c r="CA95" s="213"/>
      <c r="CB95" s="213"/>
      <c r="CC95" s="213"/>
      <c r="CD95" s="213"/>
      <c r="CE95" s="213"/>
      <c r="CF95" s="213"/>
      <c r="CG95" s="213"/>
      <c r="CH95" s="213"/>
      <c r="CI95" s="213"/>
      <c r="CJ95" s="213"/>
      <c r="CK95" s="213"/>
      <c r="CL95" s="213"/>
      <c r="CM95" s="213"/>
      <c r="CN95" s="213"/>
      <c r="CO95" s="213"/>
      <c r="CP95" s="213"/>
      <c r="CQ95" s="213"/>
      <c r="CR95" s="213"/>
      <c r="CS95" s="213"/>
      <c r="CT95" s="213"/>
      <c r="CU95" s="213"/>
      <c r="CV95" s="213"/>
      <c r="CW95" s="213"/>
      <c r="CX95" s="213"/>
      <c r="CY95" s="213"/>
      <c r="CZ95" s="213"/>
      <c r="DA95" s="213"/>
      <c r="DB95" s="213"/>
      <c r="DC95" s="213"/>
      <c r="DD95" s="213"/>
      <c r="DE95" s="213"/>
      <c r="DF95" s="213"/>
      <c r="DG95" s="213"/>
      <c r="DH95" s="213"/>
      <c r="DI95" s="213"/>
      <c r="DJ95" s="213"/>
      <c r="DK95" s="213"/>
      <c r="DL95" s="213"/>
      <c r="DM95" s="213"/>
      <c r="DN95" s="213"/>
      <c r="DO95" s="213"/>
      <c r="DP95" s="213"/>
      <c r="DQ95" s="213"/>
      <c r="DR95" s="213"/>
      <c r="DS95" s="213"/>
      <c r="DT95" s="213"/>
      <c r="DU95" s="213"/>
      <c r="DV95" s="213"/>
      <c r="DW95" s="213"/>
      <c r="DX95" s="213"/>
    </row>
  </sheetData>
  <pageMargins left="0.75" right="0.75" top="1" bottom="1" header="0.5" footer="0.5"/>
  <pageSetup orientation="portrait" r:id="rId1"/>
  <headerFooter alignWithMargins="0"/>
  <customProperties>
    <customPr name="Qube.Worksheet.Visibility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25"/>
  </sheetPr>
  <dimension ref="A1:CQ169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 activeCell="O12" sqref="O12"/>
    </sheetView>
  </sheetViews>
  <sheetFormatPr baseColWidth="10" defaultColWidth="9" defaultRowHeight="13.2" outlineLevelCol="1"/>
  <cols>
    <col min="1" max="1" width="38.19921875" style="321" bestFit="1" customWidth="1"/>
    <col min="2" max="5" width="8" style="321" hidden="1" customWidth="1" outlineLevel="1"/>
    <col min="6" max="7" width="9" style="321" hidden="1" customWidth="1" outlineLevel="1"/>
    <col min="8" max="8" width="8.09765625" style="321" hidden="1" customWidth="1" outlineLevel="1"/>
    <col min="9" max="9" width="8.09765625" style="321" hidden="1" customWidth="1" outlineLevel="1" collapsed="1"/>
    <col min="10" max="10" width="8.09765625" style="321" hidden="1" customWidth="1" outlineLevel="1"/>
    <col min="11" max="11" width="8.09765625" style="321" bestFit="1" customWidth="1" collapsed="1"/>
    <col min="12" max="14" width="8.09765625" style="321" bestFit="1" customWidth="1"/>
    <col min="15" max="21" width="8.09765625" style="322" customWidth="1"/>
    <col min="22" max="22" width="9" style="323"/>
    <col min="23" max="23" width="38.19921875" style="321" bestFit="1" customWidth="1"/>
    <col min="24" max="31" width="8.59765625" style="321" hidden="1" customWidth="1" outlineLevel="1"/>
    <col min="32" max="32" width="8.59765625" style="321" hidden="1" customWidth="1" collapsed="1"/>
    <col min="33" max="34" width="8.59765625" style="321" hidden="1" customWidth="1"/>
    <col min="35" max="35" width="9.69921875" style="321" hidden="1" customWidth="1"/>
    <col min="36" max="43" width="0" style="321" hidden="1" customWidth="1"/>
    <col min="44" max="47" width="9" style="321" hidden="1" customWidth="1" outlineLevel="1"/>
    <col min="48" max="51" width="0" style="321" hidden="1" customWidth="1" outlineLevel="1"/>
    <col min="52" max="52" width="9" style="321" collapsed="1"/>
    <col min="53" max="58" width="9" style="321"/>
    <col min="59" max="59" width="9" style="322"/>
    <col min="60" max="63" width="9" style="321"/>
    <col min="64" max="68" width="9" style="322"/>
    <col min="69" max="71" width="9" style="321"/>
    <col min="72" max="95" width="9" style="322"/>
    <col min="96" max="16384" width="9" style="321"/>
  </cols>
  <sheetData>
    <row r="1" spans="1:95" ht="34.200000000000003" customHeight="1">
      <c r="A1" s="420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1"/>
      <c r="P1" s="421"/>
      <c r="Q1" s="421"/>
      <c r="R1" s="421"/>
      <c r="S1" s="421"/>
      <c r="T1" s="421"/>
      <c r="U1" s="421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1"/>
      <c r="BH1" s="420"/>
      <c r="BI1" s="420"/>
      <c r="BJ1" s="420"/>
      <c r="BK1" s="420"/>
      <c r="BL1" s="421"/>
      <c r="BM1" s="421"/>
      <c r="BN1" s="421"/>
      <c r="BO1" s="421"/>
      <c r="BP1" s="421"/>
      <c r="BQ1" s="420"/>
      <c r="BR1" s="420"/>
      <c r="BS1" s="420"/>
      <c r="BT1" s="421"/>
      <c r="BU1" s="421"/>
      <c r="BV1" s="421"/>
      <c r="BW1" s="421"/>
      <c r="BX1" s="421"/>
      <c r="BY1" s="421"/>
      <c r="BZ1" s="421"/>
      <c r="CA1" s="421"/>
      <c r="CB1" s="421"/>
      <c r="CC1" s="421"/>
      <c r="CD1" s="421"/>
      <c r="CE1" s="421"/>
      <c r="CF1" s="421"/>
      <c r="CG1" s="421"/>
      <c r="CH1" s="421"/>
      <c r="CI1" s="421"/>
      <c r="CJ1" s="421"/>
      <c r="CK1" s="421"/>
      <c r="CL1" s="421"/>
      <c r="CM1" s="421"/>
      <c r="CN1" s="421"/>
      <c r="CO1" s="421"/>
      <c r="CP1" s="421"/>
      <c r="CQ1" s="421"/>
    </row>
    <row r="2" spans="1:95" ht="3" customHeight="1"/>
    <row r="3" spans="1:95" ht="22.8">
      <c r="A3" s="311" t="str">
        <f>Assumptions!A3</f>
        <v>Credicorp, Inc. (BAP)</v>
      </c>
    </row>
    <row r="4" spans="1:95">
      <c r="A4" s="139" t="s">
        <v>272</v>
      </c>
      <c r="AV4" s="589"/>
      <c r="AW4" s="589"/>
      <c r="AX4" s="589"/>
      <c r="AY4" s="589"/>
      <c r="AZ4" s="589"/>
      <c r="BA4" s="589"/>
      <c r="BB4" s="589"/>
      <c r="BC4" s="589"/>
      <c r="BD4" s="589"/>
      <c r="BE4" s="589"/>
      <c r="BF4" s="589"/>
      <c r="BG4" s="589"/>
      <c r="BH4" s="589"/>
      <c r="BI4" s="589"/>
      <c r="BJ4" s="589"/>
      <c r="BK4" s="589"/>
      <c r="BL4" s="589"/>
      <c r="BM4" s="589"/>
      <c r="BN4" s="589"/>
      <c r="BO4" s="589"/>
      <c r="BP4" s="589"/>
      <c r="BQ4" s="590"/>
      <c r="BR4" s="590"/>
      <c r="BS4" s="590"/>
    </row>
    <row r="5" spans="1:95">
      <c r="A5" s="137" t="s">
        <v>449</v>
      </c>
      <c r="BQ5" s="589"/>
      <c r="BR5" s="589"/>
      <c r="BS5" s="589"/>
    </row>
    <row r="6" spans="1:95">
      <c r="BQ6" s="589"/>
      <c r="BR6" s="589"/>
      <c r="BS6" s="589"/>
    </row>
    <row r="7" spans="1:95" s="325" customFormat="1" ht="11.25" customHeight="1">
      <c r="A7" s="354" t="s">
        <v>386</v>
      </c>
      <c r="B7" s="299">
        <f>+'Balance Sheet'!G7</f>
        <v>2002</v>
      </c>
      <c r="C7" s="299">
        <f>+'Balance Sheet'!H7</f>
        <v>2003</v>
      </c>
      <c r="D7" s="299">
        <f>+'Balance Sheet'!I7</f>
        <v>2004</v>
      </c>
      <c r="E7" s="299">
        <f>+'Balance Sheet'!J7</f>
        <v>2005</v>
      </c>
      <c r="F7" s="299">
        <f>+'Balance Sheet'!K7</f>
        <v>2006</v>
      </c>
      <c r="G7" s="299">
        <f>+'Balance Sheet'!L7</f>
        <v>2007</v>
      </c>
      <c r="H7" s="299">
        <f>+'Balance Sheet'!M7</f>
        <v>2008</v>
      </c>
      <c r="I7" s="299">
        <f>+'Balance Sheet'!N7</f>
        <v>2009</v>
      </c>
      <c r="J7" s="299">
        <f>+'Balance Sheet'!O7</f>
        <v>2010</v>
      </c>
      <c r="K7" s="299">
        <f>+'Balance Sheet'!P7</f>
        <v>2011</v>
      </c>
      <c r="L7" s="299">
        <f>+'Balance Sheet'!Q7</f>
        <v>2012</v>
      </c>
      <c r="M7" s="299">
        <f>+'Balance Sheet'!R7</f>
        <v>2013</v>
      </c>
      <c r="N7" s="299">
        <f>+'Balance Sheet'!S7</f>
        <v>2014</v>
      </c>
      <c r="O7" s="299">
        <f>+'Balance Sheet'!T7</f>
        <v>2015</v>
      </c>
      <c r="P7" s="181" t="str">
        <f>+'Balance Sheet'!U7</f>
        <v>2016E</v>
      </c>
      <c r="Q7" s="181" t="str">
        <f>+'Balance Sheet'!V7</f>
        <v>2017E</v>
      </c>
      <c r="R7" s="181" t="str">
        <f>+'Balance Sheet'!W7</f>
        <v>2018E</v>
      </c>
      <c r="S7" s="181" t="str">
        <f>+'Balance Sheet'!X7</f>
        <v>2019E</v>
      </c>
      <c r="T7" s="181" t="str">
        <f>+'Balance Sheet'!Y7</f>
        <v>2020E</v>
      </c>
      <c r="U7" s="181" t="str">
        <f>+'Balance Sheet'!Z7</f>
        <v>2021E</v>
      </c>
      <c r="V7" s="323"/>
      <c r="W7" s="354" t="s">
        <v>386</v>
      </c>
      <c r="X7" s="352" t="s">
        <v>117</v>
      </c>
      <c r="Y7" s="352" t="s">
        <v>116</v>
      </c>
      <c r="Z7" s="352" t="s">
        <v>115</v>
      </c>
      <c r="AA7" s="352" t="s">
        <v>114</v>
      </c>
      <c r="AB7" s="352" t="str">
        <f>+'Income Statement'!BI7</f>
        <v>1Q05</v>
      </c>
      <c r="AC7" s="352" t="str">
        <f>+'Income Statement'!BJ7</f>
        <v>2Q05</v>
      </c>
      <c r="AD7" s="352" t="str">
        <f>+'Income Statement'!BK7</f>
        <v>3Q05</v>
      </c>
      <c r="AE7" s="352" t="str">
        <f>+'Income Statement'!BL7</f>
        <v>4Q05</v>
      </c>
      <c r="AF7" s="352" t="str">
        <f>+'Income Statement'!BM7</f>
        <v>1Q06</v>
      </c>
      <c r="AG7" s="352" t="str">
        <f>+'Income Statement'!BN7</f>
        <v>2Q06</v>
      </c>
      <c r="AH7" s="352" t="str">
        <f>+'Income Statement'!BO7</f>
        <v>3Q06</v>
      </c>
      <c r="AI7" s="352" t="str">
        <f>+'Income Statement'!BP7</f>
        <v>4Q06</v>
      </c>
      <c r="AJ7" s="352" t="str">
        <f>+'Income Statement'!BQ7</f>
        <v>1Q07</v>
      </c>
      <c r="AK7" s="352" t="str">
        <f>+'Income Statement'!BR7</f>
        <v>2Q07</v>
      </c>
      <c r="AL7" s="352" t="str">
        <f>+'Income Statement'!BS7</f>
        <v>3Q07</v>
      </c>
      <c r="AM7" s="352" t="str">
        <f>+'Income Statement'!BT7</f>
        <v>4Q07</v>
      </c>
      <c r="AN7" s="352" t="str">
        <f>+'Income Statement'!BU7</f>
        <v>1Q08</v>
      </c>
      <c r="AO7" s="352" t="str">
        <f>+'Income Statement'!BV7</f>
        <v>2Q08</v>
      </c>
      <c r="AP7" s="352" t="str">
        <f>+'Income Statement'!BW7</f>
        <v>3Q08</v>
      </c>
      <c r="AQ7" s="352" t="str">
        <f>+'Income Statement'!BX7</f>
        <v>4Q08</v>
      </c>
      <c r="AR7" s="352" t="str">
        <f>+'Income Statement'!BY7</f>
        <v>1Q09</v>
      </c>
      <c r="AS7" s="352" t="str">
        <f>+'Income Statement'!BZ7</f>
        <v>2Q09</v>
      </c>
      <c r="AT7" s="352" t="str">
        <f>+'Income Statement'!CA7</f>
        <v>3Q09</v>
      </c>
      <c r="AU7" s="352" t="str">
        <f>+'Income Statement'!CB7</f>
        <v>4Q09</v>
      </c>
      <c r="AV7" s="352" t="str">
        <f>+'Income Statement'!CC7</f>
        <v>1Q10</v>
      </c>
      <c r="AW7" s="352" t="str">
        <f>+'Income Statement'!CD7</f>
        <v>2Q10</v>
      </c>
      <c r="AX7" s="352" t="str">
        <f>+'Income Statement'!CE7</f>
        <v>3Q10</v>
      </c>
      <c r="AY7" s="352" t="str">
        <f>+'Income Statement'!CF7</f>
        <v>4Q10</v>
      </c>
      <c r="AZ7" s="352" t="str">
        <f>+'Income Statement'!CG7</f>
        <v>1Q11</v>
      </c>
      <c r="BA7" s="352" t="str">
        <f>+'Income Statement'!CH7</f>
        <v>2Q11</v>
      </c>
      <c r="BB7" s="352" t="str">
        <f>+'Income Statement'!CI7</f>
        <v>3Q11</v>
      </c>
      <c r="BC7" s="352" t="str">
        <f>+'Income Statement'!CJ7</f>
        <v>4Q11</v>
      </c>
      <c r="BD7" s="352" t="str">
        <f>+'Income Statement'!CK7</f>
        <v>1Q12</v>
      </c>
      <c r="BE7" s="352" t="str">
        <f>+'Income Statement'!CL7</f>
        <v>2Q12</v>
      </c>
      <c r="BF7" s="352" t="str">
        <f>+'Income Statement'!CM7</f>
        <v>3Q12</v>
      </c>
      <c r="BG7" s="353" t="str">
        <f>+'Income Statement'!CN7</f>
        <v>4Q12</v>
      </c>
      <c r="BH7" s="352" t="str">
        <f>+'Income Statement'!CO7</f>
        <v>1Q13</v>
      </c>
      <c r="BI7" s="352" t="str">
        <f>+'Income Statement'!CP7</f>
        <v>2Q13</v>
      </c>
      <c r="BJ7" s="352" t="str">
        <f>+'Income Statement'!CQ7</f>
        <v>3Q13</v>
      </c>
      <c r="BK7" s="352" t="str">
        <f>+'Income Statement'!CR7</f>
        <v>4Q13</v>
      </c>
      <c r="BL7" s="352" t="str">
        <f>+'Income Statement'!CS7</f>
        <v>1Q14</v>
      </c>
      <c r="BM7" s="352" t="str">
        <f>+'Income Statement'!CT7</f>
        <v>2Q14</v>
      </c>
      <c r="BN7" s="352" t="str">
        <f>+'Income Statement'!CU7</f>
        <v>3Q14</v>
      </c>
      <c r="BO7" s="352" t="str">
        <f>+'Income Statement'!CV7</f>
        <v>4Q14</v>
      </c>
      <c r="BP7" s="352" t="str">
        <f>+'Income Statement'!CW7</f>
        <v>1Q15</v>
      </c>
      <c r="BQ7" s="352" t="str">
        <f>+'Income Statement'!CX7</f>
        <v>2Q15</v>
      </c>
      <c r="BR7" s="352" t="str">
        <f>+'Income Statement'!CY7</f>
        <v>3Q15</v>
      </c>
      <c r="BS7" s="352" t="str">
        <f>+'Income Statement'!CZ7</f>
        <v>4Q15</v>
      </c>
      <c r="BT7" s="181" t="str">
        <f>+'Income Statement'!DA7</f>
        <v>1Q16E</v>
      </c>
      <c r="BU7" s="181" t="str">
        <f>+'Income Statement'!DB7</f>
        <v>2Q16E</v>
      </c>
      <c r="BV7" s="181" t="str">
        <f>+'Income Statement'!DC7</f>
        <v>3Q16E</v>
      </c>
      <c r="BW7" s="181" t="str">
        <f>+'Income Statement'!DD7</f>
        <v>4Q16E</v>
      </c>
      <c r="BX7" s="181" t="str">
        <f>+'Income Statement'!DE7</f>
        <v>1Q17E</v>
      </c>
      <c r="BY7" s="181" t="str">
        <f>+'Income Statement'!DF7</f>
        <v>2Q17E</v>
      </c>
      <c r="BZ7" s="181" t="str">
        <f>+'Income Statement'!DG7</f>
        <v>3Q17E</v>
      </c>
      <c r="CA7" s="181" t="str">
        <f>+'Income Statement'!DH7</f>
        <v>4Q17E</v>
      </c>
      <c r="CB7" s="181" t="str">
        <f>+'Income Statement'!DI7</f>
        <v>1Q18E</v>
      </c>
      <c r="CC7" s="181" t="str">
        <f>+'Income Statement'!DJ7</f>
        <v>2Q18E</v>
      </c>
      <c r="CD7" s="181" t="str">
        <f>+'Income Statement'!DK7</f>
        <v>3Q18E</v>
      </c>
      <c r="CE7" s="181" t="str">
        <f>+'Income Statement'!DL7</f>
        <v>4Q18E</v>
      </c>
      <c r="CF7" s="181" t="str">
        <f>+'Income Statement'!DM7</f>
        <v>1Q19E</v>
      </c>
      <c r="CG7" s="181" t="str">
        <f>+'Income Statement'!DN7</f>
        <v>2Q19E</v>
      </c>
      <c r="CH7" s="181" t="str">
        <f>+'Income Statement'!DO7</f>
        <v>3Q19E</v>
      </c>
      <c r="CI7" s="181" t="str">
        <f>+'Income Statement'!DP7</f>
        <v>4Q19E</v>
      </c>
      <c r="CJ7" s="181" t="str">
        <f>+'Income Statement'!DQ7</f>
        <v>1Q20E</v>
      </c>
      <c r="CK7" s="181" t="str">
        <f>+'Income Statement'!DR7</f>
        <v>2Q20E</v>
      </c>
      <c r="CL7" s="181" t="str">
        <f>+'Income Statement'!DS7</f>
        <v>3Q20E</v>
      </c>
      <c r="CM7" s="181" t="str">
        <f>+'Income Statement'!DT7</f>
        <v>4Q20E</v>
      </c>
      <c r="CN7" s="181" t="str">
        <f>+'Income Statement'!DU7</f>
        <v>1Q21E</v>
      </c>
      <c r="CO7" s="181" t="str">
        <f>+'Income Statement'!DV7</f>
        <v>2Q21E</v>
      </c>
      <c r="CP7" s="181" t="str">
        <f>+'Income Statement'!DW7</f>
        <v>3Q21E</v>
      </c>
      <c r="CQ7" s="181" t="str">
        <f>+'Income Statement'!DX7</f>
        <v>4Q21E</v>
      </c>
    </row>
    <row r="8" spans="1:95" s="325" customFormat="1" ht="11.25" customHeight="1">
      <c r="A8" s="419" t="s">
        <v>271</v>
      </c>
      <c r="P8" s="326"/>
      <c r="Q8" s="326"/>
      <c r="R8" s="326"/>
      <c r="S8" s="326"/>
      <c r="T8" s="326"/>
      <c r="U8" s="326"/>
      <c r="V8" s="323"/>
      <c r="W8" s="419" t="s">
        <v>271</v>
      </c>
      <c r="X8" s="419"/>
      <c r="Y8" s="419"/>
      <c r="Z8" s="419"/>
      <c r="AA8" s="419"/>
      <c r="BG8" s="327"/>
      <c r="BT8" s="326"/>
      <c r="BU8" s="326"/>
      <c r="BV8" s="326"/>
      <c r="BW8" s="326"/>
      <c r="BX8" s="326"/>
      <c r="BY8" s="326"/>
      <c r="BZ8" s="326"/>
      <c r="CA8" s="326"/>
      <c r="CB8" s="326"/>
      <c r="CC8" s="326"/>
      <c r="CD8" s="326"/>
      <c r="CE8" s="326"/>
      <c r="CF8" s="326"/>
      <c r="CG8" s="326"/>
      <c r="CH8" s="326"/>
      <c r="CI8" s="326"/>
      <c r="CJ8" s="326"/>
      <c r="CK8" s="326"/>
      <c r="CL8" s="326"/>
      <c r="CM8" s="326"/>
      <c r="CN8" s="326"/>
      <c r="CO8" s="326"/>
      <c r="CP8" s="326"/>
      <c r="CQ8" s="326"/>
    </row>
    <row r="9" spans="1:95" s="325" customFormat="1" ht="11.25" customHeight="1">
      <c r="A9" s="329" t="s">
        <v>385</v>
      </c>
      <c r="B9" s="374">
        <f>+Assumptions!G11</f>
        <v>0</v>
      </c>
      <c r="C9" s="374">
        <f>+Assumptions!H11</f>
        <v>0</v>
      </c>
      <c r="D9" s="374">
        <f>+Assumptions!I11</f>
        <v>0</v>
      </c>
      <c r="E9" s="374">
        <f>+Assumptions!J11</f>
        <v>6.4496931107669297E-2</v>
      </c>
      <c r="F9" s="374">
        <f>+Assumptions!K11</f>
        <v>7.8718703480422203E-2</v>
      </c>
      <c r="G9" s="374">
        <f>+Assumptions!L11</f>
        <v>8.9052767639427904E-2</v>
      </c>
      <c r="H9" s="374">
        <f>+Assumptions!M11</f>
        <v>9.8037405630167204E-2</v>
      </c>
      <c r="I9" s="374">
        <f>+Assumptions!N11</f>
        <v>8.6169938899864889E-3</v>
      </c>
      <c r="J9" s="374">
        <f>+Assumptions!O11</f>
        <v>8.7616454100452698E-2</v>
      </c>
      <c r="K9" s="374">
        <f>+Assumptions!P11</f>
        <v>6.5100000000000005E-2</v>
      </c>
      <c r="L9" s="374">
        <f>+Assumptions!Q11</f>
        <v>5.5899999999999998E-2</v>
      </c>
      <c r="M9" s="374">
        <f>+Assumptions!R11</f>
        <v>5.5800000000000002E-2</v>
      </c>
      <c r="N9" s="374">
        <f>+Assumptions!S11</f>
        <v>2.4E-2</v>
      </c>
      <c r="O9" s="374">
        <f>+Assumptions!T11</f>
        <v>2.8000000000000001E-2</v>
      </c>
      <c r="P9" s="373">
        <f>+Assumptions!U11</f>
        <v>3.5000000000000003E-2</v>
      </c>
      <c r="Q9" s="373">
        <f>+Assumptions!V11</f>
        <v>4.2000000000000003E-2</v>
      </c>
      <c r="R9" s="373">
        <f>+Assumptions!W11</f>
        <v>4.2999999999999997E-2</v>
      </c>
      <c r="S9" s="373">
        <f>+Assumptions!X11</f>
        <v>4.4999999999999998E-2</v>
      </c>
      <c r="T9" s="373">
        <f>+Assumptions!Y11</f>
        <v>0.05</v>
      </c>
      <c r="U9" s="373">
        <f>+Assumptions!Z11</f>
        <v>0.05</v>
      </c>
      <c r="V9" s="323"/>
      <c r="W9" s="329" t="s">
        <v>385</v>
      </c>
      <c r="X9" s="374">
        <f>+Assumptions!BE11</f>
        <v>3.2000000000000001E-2</v>
      </c>
      <c r="Y9" s="374">
        <f>+Assumptions!BF11</f>
        <v>3.2000000000000001E-2</v>
      </c>
      <c r="Z9" s="374">
        <f>+Assumptions!BG11</f>
        <v>0.05</v>
      </c>
      <c r="AA9" s="374">
        <f>+Assumptions!BH11</f>
        <v>5.8509167971989406E-2</v>
      </c>
      <c r="AB9" s="374">
        <f>+Assumptions!BI11</f>
        <v>5.8907774204880206E-2</v>
      </c>
      <c r="AC9" s="374">
        <f>+Assumptions!BJ11</f>
        <v>6.2996511593820498E-2</v>
      </c>
      <c r="AD9" s="374">
        <f>+Assumptions!BK11</f>
        <v>7.7155232639374099E-2</v>
      </c>
      <c r="AE9" s="374">
        <f>+Assumptions!BL11</f>
        <v>8.2433844011142093E-2</v>
      </c>
      <c r="AF9" s="374">
        <f>+Assumptions!BM11</f>
        <v>6.3293949524077006E-2</v>
      </c>
      <c r="AG9" s="374">
        <f>+Assumptions!BN11</f>
        <v>8.5789531741216701E-2</v>
      </c>
      <c r="AH9" s="374">
        <f>+Assumptions!BO11</f>
        <v>8.4426399626420498E-2</v>
      </c>
      <c r="AI9" s="374">
        <f>+Assumptions!BP11</f>
        <v>8.5822275834338602E-2</v>
      </c>
      <c r="AJ9" s="374">
        <f>+Assumptions!BQ11</f>
        <v>8.1764357181770803E-2</v>
      </c>
      <c r="AK9" s="374">
        <f>+Assumptions!BR11</f>
        <v>8.99019376271495E-2</v>
      </c>
      <c r="AL9" s="374">
        <f>+Assumptions!BS11</f>
        <v>9.8401207646834993E-2</v>
      </c>
      <c r="AM9" s="374">
        <f>+Assumptions!BT11</f>
        <v>0.10292149921247401</v>
      </c>
      <c r="AN9" s="374">
        <f>+Assumptions!BU11</f>
        <v>0.116982664140462</v>
      </c>
      <c r="AO9" s="374">
        <f>+Assumptions!BV11</f>
        <v>0.108877113015758</v>
      </c>
      <c r="AP9" s="374">
        <f>+Assumptions!BW11</f>
        <v>6.4998312043298909E-2</v>
      </c>
      <c r="AQ9" s="374">
        <f>+Assumptions!BX11</f>
        <v>1.9008138670773399E-2</v>
      </c>
      <c r="AR9" s="374">
        <f>+Assumptions!BY11</f>
        <v>-1.1984801507931998E-2</v>
      </c>
      <c r="AS9" s="374">
        <f>+Assumptions!BZ11</f>
        <v>-5.8758258939830598E-3</v>
      </c>
      <c r="AT9" s="374">
        <f>+Assumptions!CA11</f>
        <v>3.4439177222697098E-2</v>
      </c>
      <c r="AU9" s="374">
        <f>+Assumptions!CB11</f>
        <v>6.1832232102063005E-2</v>
      </c>
      <c r="AV9" s="374">
        <f>+Assumptions!CC11</f>
        <v>9.9966427909464098E-2</v>
      </c>
      <c r="AW9" s="374">
        <f>+Assumptions!CD11</f>
        <v>9.4689378757515111E-2</v>
      </c>
      <c r="AX9" s="374">
        <f>+Assumptions!CE11</f>
        <v>9.2062757750811491E-2</v>
      </c>
      <c r="AY9" s="374">
        <f>+Assumptions!CF11</f>
        <v>8.5530112929951899E-2</v>
      </c>
      <c r="AZ9" s="374">
        <f>+Assumptions!CG11</f>
        <v>8.5530112929951899E-2</v>
      </c>
      <c r="BA9" s="374">
        <f>+Assumptions!CH11</f>
        <v>6.8549831494761904E-2</v>
      </c>
      <c r="BB9" s="374">
        <f>+Assumptions!CI11</f>
        <v>6.6303623671175801E-2</v>
      </c>
      <c r="BC9" s="374">
        <f>+Assumptions!CJ11</f>
        <v>5.6058727155878597E-2</v>
      </c>
      <c r="BD9" s="374">
        <f>+Assumptions!CK11</f>
        <v>6.0930895563915205E-2</v>
      </c>
      <c r="BE9" s="374">
        <f>+Assumptions!CL11</f>
        <v>6.3813557002900798E-2</v>
      </c>
      <c r="BF9" s="374">
        <f>+Assumptions!CM11</f>
        <v>6.7161070665362699E-2</v>
      </c>
      <c r="BG9" s="375">
        <f>+Assumptions!CN11</f>
        <v>5.9398201083052903E-2</v>
      </c>
      <c r="BH9" s="374">
        <f>+Assumptions!CO11</f>
        <v>4.7E-2</v>
      </c>
      <c r="BI9" s="374">
        <f>+Assumptions!CP11</f>
        <v>6.1800000000000001E-2</v>
      </c>
      <c r="BJ9" s="374">
        <f>+Assumptions!CQ11</f>
        <v>5.1400000000000001E-2</v>
      </c>
      <c r="BK9" s="374">
        <f>+Assumptions!CR11</f>
        <v>6.6699999999999995E-2</v>
      </c>
      <c r="BL9" s="374">
        <f>+Assumptions!CS11</f>
        <v>5.1400000000000001E-2</v>
      </c>
      <c r="BM9" s="374">
        <f>+Assumptions!CT11</f>
        <v>1.72E-2</v>
      </c>
      <c r="BN9" s="374">
        <f>+Assumptions!CU11</f>
        <v>1.7500000000000002E-2</v>
      </c>
      <c r="BO9" s="374">
        <f>+Assumptions!CV11</f>
        <v>1.06E-2</v>
      </c>
      <c r="BP9" s="374">
        <f>+Assumptions!CW11</f>
        <v>1.7000000000000001E-2</v>
      </c>
      <c r="BQ9" s="374">
        <f>+Assumptions!CX11</f>
        <v>0.03</v>
      </c>
      <c r="BR9" s="374">
        <f>+Assumptions!CY11</f>
        <v>2.8999999999999998E-2</v>
      </c>
      <c r="BS9" s="374">
        <f>+Assumptions!CZ11</f>
        <v>3.4000000000000002E-2</v>
      </c>
      <c r="BT9" s="373">
        <f>+Assumptions!DA11</f>
        <v>3.4000000000000002E-2</v>
      </c>
      <c r="BU9" s="373">
        <f>+Assumptions!DB11</f>
        <v>3.5999999999999997E-2</v>
      </c>
      <c r="BV9" s="373">
        <f>+Assumptions!DC11</f>
        <v>3.7999999999999999E-2</v>
      </c>
      <c r="BW9" s="373">
        <f>+Assumptions!DD11</f>
        <v>3.5000000000000003E-2</v>
      </c>
      <c r="BX9" s="373">
        <f>+Assumptions!DE11</f>
        <v>3.7999999999999999E-2</v>
      </c>
      <c r="BY9" s="373">
        <f>+Assumptions!DF11</f>
        <v>0.04</v>
      </c>
      <c r="BZ9" s="373">
        <f>+Assumptions!DG11</f>
        <v>4.0999999999999995E-2</v>
      </c>
      <c r="CA9" s="373">
        <f>+Assumptions!DH11</f>
        <v>4.0999999999999995E-2</v>
      </c>
      <c r="CB9" s="373">
        <f>+Assumptions!DI11</f>
        <v>4.2000000000000003E-2</v>
      </c>
      <c r="CC9" s="373">
        <f>+Assumptions!DJ11</f>
        <v>4.2999999999999997E-2</v>
      </c>
      <c r="CD9" s="373">
        <f>+Assumptions!DK11</f>
        <v>4.3999999999999997E-2</v>
      </c>
      <c r="CE9" s="373">
        <f>+Assumptions!DL11</f>
        <v>4.4999999999999998E-2</v>
      </c>
      <c r="CF9" s="373">
        <f>+Assumptions!DM11</f>
        <v>4.4999999999999998E-2</v>
      </c>
      <c r="CG9" s="373">
        <f>+Assumptions!DN11</f>
        <v>4.4999999999999998E-2</v>
      </c>
      <c r="CH9" s="373">
        <f>+Assumptions!DO11</f>
        <v>4.4999999999999998E-2</v>
      </c>
      <c r="CI9" s="373">
        <f>+Assumptions!DP11</f>
        <v>4.7500000000000001E-2</v>
      </c>
      <c r="CJ9" s="373">
        <f>+Assumptions!DQ11</f>
        <v>0.05</v>
      </c>
      <c r="CK9" s="373">
        <f>+Assumptions!DR11</f>
        <v>0.05</v>
      </c>
      <c r="CL9" s="373">
        <f>+Assumptions!DS11</f>
        <v>0.05</v>
      </c>
      <c r="CM9" s="373">
        <f>+Assumptions!DT11</f>
        <v>0.05</v>
      </c>
      <c r="CN9" s="373">
        <f>+Assumptions!DU11</f>
        <v>0.05</v>
      </c>
      <c r="CO9" s="373">
        <f>+Assumptions!DV11</f>
        <v>0.05</v>
      </c>
      <c r="CP9" s="373">
        <f>+Assumptions!DW11</f>
        <v>0.05</v>
      </c>
      <c r="CQ9" s="373">
        <f>+Assumptions!DX11</f>
        <v>0.05</v>
      </c>
    </row>
    <row r="10" spans="1:95" s="325" customFormat="1" ht="11.25" customHeight="1">
      <c r="A10" s="329" t="s">
        <v>384</v>
      </c>
      <c r="B10" s="374">
        <f>+Assumptions!G12</f>
        <v>0</v>
      </c>
      <c r="C10" s="374">
        <f>+Assumptions!H12</f>
        <v>0</v>
      </c>
      <c r="D10" s="374">
        <f>+Assumptions!I12</f>
        <v>0</v>
      </c>
      <c r="E10" s="374">
        <f>+Assumptions!J12</f>
        <v>3.2500000000000001E-2</v>
      </c>
      <c r="F10" s="374">
        <f>+Assumptions!K12</f>
        <v>4.4999999999999998E-2</v>
      </c>
      <c r="G10" s="374">
        <f>+Assumptions!L12</f>
        <v>0.05</v>
      </c>
      <c r="H10" s="374">
        <f>+Assumptions!M12</f>
        <v>6.5000000000000002E-2</v>
      </c>
      <c r="I10" s="374">
        <f>+Assumptions!N12</f>
        <v>1.2500000000000001E-2</v>
      </c>
      <c r="J10" s="374">
        <f>+Assumptions!O12</f>
        <v>0.03</v>
      </c>
      <c r="K10" s="374">
        <f>+Assumptions!P12</f>
        <v>4.2500000000000003E-2</v>
      </c>
      <c r="L10" s="374">
        <f>+Assumptions!Q12</f>
        <v>4.2500000000000003E-2</v>
      </c>
      <c r="M10" s="374">
        <f>+Assumptions!R12</f>
        <v>0.04</v>
      </c>
      <c r="N10" s="374">
        <f>+Assumptions!S12</f>
        <v>3.5000000000000003E-2</v>
      </c>
      <c r="O10" s="374">
        <f>+Assumptions!T12</f>
        <v>3.7499999999999999E-2</v>
      </c>
      <c r="P10" s="373">
        <f>+Assumptions!U12</f>
        <v>4.2999999999999997E-2</v>
      </c>
      <c r="Q10" s="373">
        <f>+Assumptions!V12</f>
        <v>0.04</v>
      </c>
      <c r="R10" s="373">
        <f>+Assumptions!W12</f>
        <v>0.04</v>
      </c>
      <c r="S10" s="373">
        <f>+Assumptions!X12</f>
        <v>0.04</v>
      </c>
      <c r="T10" s="373">
        <f>+Assumptions!Y12</f>
        <v>0.04</v>
      </c>
      <c r="U10" s="373">
        <f>+Assumptions!Z12</f>
        <v>0.04</v>
      </c>
      <c r="V10" s="323"/>
      <c r="W10" s="329" t="s">
        <v>384</v>
      </c>
      <c r="X10" s="374">
        <f>+Assumptions!BE12</f>
        <v>0.1575</v>
      </c>
      <c r="Y10" s="374">
        <f>+Assumptions!BF12</f>
        <v>0.16200000000000001</v>
      </c>
      <c r="Z10" s="374">
        <f>+Assumptions!BG12</f>
        <v>0.17749999999999999</v>
      </c>
      <c r="AA10" s="374">
        <f>+Assumptions!BH12</f>
        <v>2.8999999999999998E-2</v>
      </c>
      <c r="AB10" s="374">
        <f>+Assumptions!BI12</f>
        <v>0.03</v>
      </c>
      <c r="AC10" s="374">
        <f>+Assumptions!BJ12</f>
        <v>0.03</v>
      </c>
      <c r="AD10" s="374">
        <f>+Assumptions!BK12</f>
        <v>3.2500000000000001E-2</v>
      </c>
      <c r="AE10" s="374">
        <f>+Assumptions!BL12</f>
        <v>0.04</v>
      </c>
      <c r="AF10" s="374">
        <f>+Assumptions!BM12</f>
        <v>4.4999999999999998E-2</v>
      </c>
      <c r="AG10" s="374">
        <f>+Assumptions!BN12</f>
        <v>4.4999999999999998E-2</v>
      </c>
      <c r="AH10" s="374">
        <f>+Assumptions!BO12</f>
        <v>4.4999999999999998E-2</v>
      </c>
      <c r="AI10" s="374">
        <f>+Assumptions!BP12</f>
        <v>4.4999999999999998E-2</v>
      </c>
      <c r="AJ10" s="374">
        <f>+Assumptions!BQ12</f>
        <v>4.4999999999999998E-2</v>
      </c>
      <c r="AK10" s="374">
        <f>+Assumptions!BR12</f>
        <v>0.05</v>
      </c>
      <c r="AL10" s="374">
        <f>+Assumptions!BS12</f>
        <v>0.05</v>
      </c>
      <c r="AM10" s="374">
        <f>+Assumptions!BT12</f>
        <v>5.2499999999999998E-2</v>
      </c>
      <c r="AN10" s="374">
        <f>+Assumptions!BU12</f>
        <v>5.7500000000000002E-2</v>
      </c>
      <c r="AO10" s="374">
        <f>+Assumptions!BV12</f>
        <v>6.5000000000000002E-2</v>
      </c>
      <c r="AP10" s="374">
        <f>+Assumptions!BW12</f>
        <v>6.5000000000000002E-2</v>
      </c>
      <c r="AQ10" s="374">
        <f>+Assumptions!BX12</f>
        <v>0.06</v>
      </c>
      <c r="AR10" s="374">
        <f>+Assumptions!BY12</f>
        <v>0.03</v>
      </c>
      <c r="AS10" s="374">
        <f>+Assumptions!BZ12</f>
        <v>1.2500000000000001E-2</v>
      </c>
      <c r="AT10" s="374">
        <f>+Assumptions!CA12</f>
        <v>1.2500000000000001E-2</v>
      </c>
      <c r="AU10" s="374">
        <f>+Assumptions!CB12</f>
        <v>1.2500000000000001E-2</v>
      </c>
      <c r="AV10" s="374">
        <f>+Assumptions!CC12</f>
        <v>1.7500000000000002E-2</v>
      </c>
      <c r="AW10" s="374">
        <f>+Assumptions!CD12</f>
        <v>0.03</v>
      </c>
      <c r="AX10" s="374">
        <f>+Assumptions!CE12</f>
        <v>0.03</v>
      </c>
      <c r="AY10" s="374">
        <f>+Assumptions!CF12</f>
        <v>3.7499999999999999E-2</v>
      </c>
      <c r="AZ10" s="374">
        <f>+Assumptions!CG12</f>
        <v>3.7499999999999999E-2</v>
      </c>
      <c r="BA10" s="374">
        <f>+Assumptions!CH12</f>
        <v>4.2500000000000003E-2</v>
      </c>
      <c r="BB10" s="374">
        <f>+Assumptions!CI12</f>
        <v>4.2500000000000003E-2</v>
      </c>
      <c r="BC10" s="374">
        <f>+Assumptions!CJ12</f>
        <v>4.2500000000000003E-2</v>
      </c>
      <c r="BD10" s="374">
        <f>+Assumptions!CK12</f>
        <v>4.2500000000000003E-2</v>
      </c>
      <c r="BE10" s="374">
        <f>+Assumptions!CL12</f>
        <v>4.2500000000000003E-2</v>
      </c>
      <c r="BF10" s="374">
        <f>+Assumptions!CM12</f>
        <v>4.2500000000000003E-2</v>
      </c>
      <c r="BG10" s="375">
        <f>+Assumptions!CN12</f>
        <v>4.2500000000000003E-2</v>
      </c>
      <c r="BH10" s="374">
        <f>+Assumptions!CO12</f>
        <v>4.2500000000000003E-2</v>
      </c>
      <c r="BI10" s="374">
        <f>+Assumptions!CP12</f>
        <v>4.2500000000000003E-2</v>
      </c>
      <c r="BJ10" s="374">
        <f>+Assumptions!CQ12</f>
        <v>4.2500000000000003E-2</v>
      </c>
      <c r="BK10" s="374">
        <f>+Assumptions!CR12</f>
        <v>0.04</v>
      </c>
      <c r="BL10" s="374">
        <f>+Assumptions!CS12</f>
        <v>0.04</v>
      </c>
      <c r="BM10" s="374">
        <f>+Assumptions!CT12</f>
        <v>3.9662999999999997E-2</v>
      </c>
      <c r="BN10" s="374">
        <f>+Assumptions!CU12</f>
        <v>3.5000000000000003E-2</v>
      </c>
      <c r="BO10" s="374">
        <f>+Assumptions!CV12</f>
        <v>3.5000000000000003E-2</v>
      </c>
      <c r="BP10" s="374">
        <f>+Assumptions!CW12</f>
        <v>3.2500000000000001E-2</v>
      </c>
      <c r="BQ10" s="374">
        <f>+Assumptions!CX12</f>
        <v>3.5000000000000003E-2</v>
      </c>
      <c r="BR10" s="374">
        <f>+Assumptions!CY12</f>
        <v>3.5000000000000003E-2</v>
      </c>
      <c r="BS10" s="374">
        <f>+Assumptions!CZ12</f>
        <v>3.7499999999999999E-2</v>
      </c>
      <c r="BT10" s="373">
        <f>+Assumptions!DA12</f>
        <v>4.0500000000000001E-2</v>
      </c>
      <c r="BU10" s="373">
        <f>+Assumptions!DB12</f>
        <v>4.1500000000000002E-2</v>
      </c>
      <c r="BV10" s="373">
        <f>+Assumptions!DC12</f>
        <v>4.2500000000000003E-2</v>
      </c>
      <c r="BW10" s="373">
        <f>+Assumptions!DD12</f>
        <v>4.2999999999999997E-2</v>
      </c>
      <c r="BX10" s="373">
        <f>+Assumptions!DE12</f>
        <v>4.1500000000000002E-2</v>
      </c>
      <c r="BY10" s="373">
        <f>+Assumptions!DF12</f>
        <v>0.04</v>
      </c>
      <c r="BZ10" s="373">
        <f>+Assumptions!DG12</f>
        <v>0.04</v>
      </c>
      <c r="CA10" s="373">
        <f>+Assumptions!DH12</f>
        <v>0.04</v>
      </c>
      <c r="CB10" s="373">
        <f>+Assumptions!DI12</f>
        <v>0.04</v>
      </c>
      <c r="CC10" s="373">
        <f>+Assumptions!DJ12</f>
        <v>0.04</v>
      </c>
      <c r="CD10" s="373">
        <f>+Assumptions!DK12</f>
        <v>0.04</v>
      </c>
      <c r="CE10" s="373">
        <f>+Assumptions!DL12</f>
        <v>0.04</v>
      </c>
      <c r="CF10" s="373">
        <f>+Assumptions!DM12</f>
        <v>0.04</v>
      </c>
      <c r="CG10" s="373">
        <f>+Assumptions!DN12</f>
        <v>0.04</v>
      </c>
      <c r="CH10" s="373">
        <f>+Assumptions!DO12</f>
        <v>0.04</v>
      </c>
      <c r="CI10" s="373">
        <f>+Assumptions!DP12</f>
        <v>0.04</v>
      </c>
      <c r="CJ10" s="373">
        <f>+Assumptions!DQ12</f>
        <v>0.04</v>
      </c>
      <c r="CK10" s="373">
        <f>+Assumptions!DR12</f>
        <v>0.04</v>
      </c>
      <c r="CL10" s="373">
        <f>+Assumptions!DS12</f>
        <v>0.04</v>
      </c>
      <c r="CM10" s="373">
        <f>+Assumptions!DT12</f>
        <v>0.04</v>
      </c>
      <c r="CN10" s="373">
        <f>+Assumptions!DU12</f>
        <v>0.04</v>
      </c>
      <c r="CO10" s="373">
        <f>+Assumptions!DV12</f>
        <v>0.04</v>
      </c>
      <c r="CP10" s="373">
        <f>+Assumptions!DW12</f>
        <v>0.04</v>
      </c>
      <c r="CQ10" s="373">
        <f>+Assumptions!DX12</f>
        <v>0.04</v>
      </c>
    </row>
    <row r="11" spans="1:95" s="325" customFormat="1" ht="11.25" customHeight="1">
      <c r="A11" s="331" t="s">
        <v>383</v>
      </c>
      <c r="B11" s="374">
        <f>+Assumptions!G14</f>
        <v>0</v>
      </c>
      <c r="C11" s="374">
        <f>+Assumptions!H14</f>
        <v>0</v>
      </c>
      <c r="D11" s="374">
        <f>+Assumptions!I14</f>
        <v>0</v>
      </c>
      <c r="E11" s="374">
        <f>+Assumptions!J14</f>
        <v>1.49424973054513E-2</v>
      </c>
      <c r="F11" s="374">
        <f>+Assumptions!K14</f>
        <v>1.1375002385461299E-2</v>
      </c>
      <c r="G11" s="374">
        <f>+Assumptions!L14</f>
        <v>3.9276493818719602E-2</v>
      </c>
      <c r="H11" s="374">
        <f>+Assumptions!M14</f>
        <v>6.6502052690712299E-2</v>
      </c>
      <c r="I11" s="374">
        <f>+Assumptions!N14</f>
        <v>2.4534348087321702E-3</v>
      </c>
      <c r="J11" s="374">
        <f>+Assumptions!O14</f>
        <v>2.07641975925279E-2</v>
      </c>
      <c r="K11" s="374">
        <f>+Assumptions!P14</f>
        <v>3.3700000000000001E-2</v>
      </c>
      <c r="L11" s="374">
        <f>+Assumptions!Q14</f>
        <v>3.6600000000000001E-2</v>
      </c>
      <c r="M11" s="374">
        <f>+Assumptions!R14</f>
        <v>2.81E-2</v>
      </c>
      <c r="N11" s="374">
        <f>+Assumptions!S14</f>
        <v>3.2000000000000001E-2</v>
      </c>
      <c r="O11" s="374">
        <f>+Assumptions!T14</f>
        <v>3.510433172816585E-2</v>
      </c>
      <c r="P11" s="373">
        <f>+Assumptions!U14</f>
        <v>3.4000000000000002E-2</v>
      </c>
      <c r="Q11" s="373">
        <f>+Assumptions!V14</f>
        <v>0.03</v>
      </c>
      <c r="R11" s="373">
        <f>+Assumptions!W14</f>
        <v>0.03</v>
      </c>
      <c r="S11" s="373">
        <f>+Assumptions!X14</f>
        <v>0.03</v>
      </c>
      <c r="T11" s="373">
        <f>+Assumptions!Y14</f>
        <v>0.03</v>
      </c>
      <c r="U11" s="373">
        <f>+Assumptions!Z14</f>
        <v>0.03</v>
      </c>
      <c r="V11" s="323"/>
      <c r="W11" s="331" t="s">
        <v>383</v>
      </c>
      <c r="X11" s="374">
        <f>+Assumptions!BE14</f>
        <v>2.9573881041687899E-2</v>
      </c>
      <c r="Y11" s="374">
        <f>+Assumptions!BF14</f>
        <v>1.4E-2</v>
      </c>
      <c r="Z11" s="374">
        <f>+Assumptions!BG14</f>
        <v>1.4E-2</v>
      </c>
      <c r="AA11" s="374">
        <f>+Assumptions!BH14</f>
        <v>4.6598026623689837E-3</v>
      </c>
      <c r="AB11" s="374">
        <f>+Assumptions!BI14</f>
        <v>3.694880929163924E-3</v>
      </c>
      <c r="AC11" s="374">
        <f>+Assumptions!BJ14</f>
        <v>2.7678326142548393E-3</v>
      </c>
      <c r="AD11" s="374">
        <f>+Assumptions!BK14</f>
        <v>3.7148725948805694E-3</v>
      </c>
      <c r="AE11" s="374">
        <f>+Assumptions!BL14</f>
        <v>6.1968710018474038E-3</v>
      </c>
      <c r="AF11" s="374">
        <f>+Assumptions!BM14</f>
        <v>4.5339746345725018E-3</v>
      </c>
      <c r="AG11" s="374">
        <f>+Assumptions!BN14</f>
        <v>4.9500814788248082E-3</v>
      </c>
      <c r="AH11" s="374">
        <f>+Assumptions!BO14</f>
        <v>2.8317000861650676E-3</v>
      </c>
      <c r="AI11" s="374">
        <f>+Assumptions!BP14</f>
        <v>6.1676635917207179E-4</v>
      </c>
      <c r="AJ11" s="374">
        <f>+Assumptions!BQ14</f>
        <v>3.8504935861771727E-3</v>
      </c>
      <c r="AK11" s="374">
        <f>+Assumptions!BR14</f>
        <v>6.9311288481677114E-3</v>
      </c>
      <c r="AL11" s="374">
        <f>+Assumptions!BS14</f>
        <v>9.6777272540045089E-3</v>
      </c>
      <c r="AM11" s="374">
        <f>+Assumptions!BT14</f>
        <v>1.3583617412343374E-2</v>
      </c>
      <c r="AN11" s="374">
        <f>+Assumptions!BU14</f>
        <v>1.3969624222815558E-2</v>
      </c>
      <c r="AO11" s="374">
        <f>+Assumptions!BV14</f>
        <v>1.5203637971271666E-2</v>
      </c>
      <c r="AP11" s="374">
        <f>+Assumptions!BW14</f>
        <v>1.6226285093677406E-2</v>
      </c>
      <c r="AQ11" s="374">
        <f>+Assumptions!BX14</f>
        <v>1.1737677287075865E-2</v>
      </c>
      <c r="AR11" s="374">
        <f>+Assumptions!BY14</f>
        <v>7.5633136380659494E-3</v>
      </c>
      <c r="AS11" s="374">
        <f>+Assumptions!BZ14</f>
        <v>2.9976835896923237E-3</v>
      </c>
      <c r="AT11" s="374">
        <f>+Assumptions!CA14</f>
        <v>6.1279519510537561E-4</v>
      </c>
      <c r="AU11" s="374">
        <f>+Assumptions!CB14</f>
        <v>1.8829412362464382E-3</v>
      </c>
      <c r="AV11" s="374">
        <f>+Assumptions!CC14</f>
        <v>4.0833425910378196E-3</v>
      </c>
      <c r="AW11" s="374">
        <f>+Assumptions!CD14</f>
        <v>5.861878185368985E-3</v>
      </c>
      <c r="AX11" s="374">
        <f>+Assumptions!CE14</f>
        <v>5.1511116164491E-3</v>
      </c>
      <c r="AY11" s="374">
        <f>+Assumptions!CF14</f>
        <v>6.5929034799216968E-3</v>
      </c>
      <c r="AZ11" s="374">
        <f>+Assumptions!CG14</f>
        <v>6.5929034799216968E-3</v>
      </c>
      <c r="BA11" s="374">
        <f>+Assumptions!CH14</f>
        <v>7.1987186277051585E-3</v>
      </c>
      <c r="BB11" s="374">
        <f>+Assumptions!CI14</f>
        <v>9.1883831423162921E-3</v>
      </c>
      <c r="BC11" s="374">
        <f>+Assumptions!CJ14</f>
        <v>1.1641219833626426E-2</v>
      </c>
      <c r="BD11" s="374">
        <f>+Assumptions!CK14</f>
        <v>1.0414946587014473E-2</v>
      </c>
      <c r="BE11" s="374">
        <f>+Assumptions!CL14</f>
        <v>9.855915784953595E-3</v>
      </c>
      <c r="BF11" s="374">
        <f>+Assumptions!CM14</f>
        <v>9.2243717322799679E-3</v>
      </c>
      <c r="BG11" s="375">
        <f>+Assumptions!CN14</f>
        <v>6.5586157753747543E-3</v>
      </c>
      <c r="BH11" s="374">
        <f>+Assumptions!CO14</f>
        <v>6.5356483270302412E-3</v>
      </c>
      <c r="BI11" s="374">
        <f>+Assumptions!CP14</f>
        <v>6.2167867021361012E-3</v>
      </c>
      <c r="BJ11" s="374">
        <f>+Assumptions!CQ14</f>
        <v>7.7103661186026518E-3</v>
      </c>
      <c r="BK11" s="374">
        <f>+Assumptions!CR14</f>
        <v>7.294790162107212E-3</v>
      </c>
      <c r="BL11" s="374">
        <f>+Assumptions!CS14</f>
        <v>8.4181054506595743E-3</v>
      </c>
      <c r="BM11" s="374">
        <f>+Assumptions!CT14</f>
        <v>8.6618083383709354E-3</v>
      </c>
      <c r="BN11" s="374">
        <f>+Assumptions!CU14</f>
        <v>7.2213998112786726E-3</v>
      </c>
      <c r="BO11" s="374">
        <f>+Assumptions!CV14</f>
        <v>7.8080740138817273E-3</v>
      </c>
      <c r="BP11" s="374">
        <f>+Assumptions!CW14</f>
        <v>7.294790162107212E-3</v>
      </c>
      <c r="BQ11" s="374">
        <f>+Assumptions!CX14</f>
        <v>8.1498280423168978E-3</v>
      </c>
      <c r="BR11" s="374">
        <f>+Assumptions!CY14</f>
        <v>9.367549585383772E-3</v>
      </c>
      <c r="BS11" s="374">
        <f>+Assumptions!CZ14</f>
        <v>1.0096072289550451E-2</v>
      </c>
      <c r="BT11" s="373">
        <f>+Assumptions!DA14</f>
        <v>9.1243577716659807E-3</v>
      </c>
      <c r="BU11" s="373">
        <f>+Assumptions!DB14</f>
        <v>8.3937254420483054E-3</v>
      </c>
      <c r="BV11" s="373">
        <f>+Assumptions!DC14</f>
        <v>7.9057534988196121E-3</v>
      </c>
      <c r="BW11" s="373">
        <f>+Assumptions!DD14</f>
        <v>7.6615015110583773E-3</v>
      </c>
      <c r="BX11" s="373">
        <f>+Assumptions!DE14</f>
        <v>7.6615015110583773E-3</v>
      </c>
      <c r="BY11" s="373">
        <f>+Assumptions!DF14</f>
        <v>7.1724639967380988E-3</v>
      </c>
      <c r="BZ11" s="373">
        <f>+Assumptions!DG14</f>
        <v>7.1724639967380988E-3</v>
      </c>
      <c r="CA11" s="373">
        <f>+Assumptions!DH14</f>
        <v>7.4170717777328754E-3</v>
      </c>
      <c r="CB11" s="373">
        <f>+Assumptions!DI14</f>
        <v>7.4170717777328754E-3</v>
      </c>
      <c r="CC11" s="373">
        <f>+Assumptions!DJ14</f>
        <v>7.4170717777328754E-3</v>
      </c>
      <c r="CD11" s="373">
        <f>+Assumptions!DK14</f>
        <v>7.4170717777328754E-3</v>
      </c>
      <c r="CE11" s="373">
        <f>+Assumptions!DL14</f>
        <v>7.4170717777328754E-3</v>
      </c>
      <c r="CF11" s="373">
        <f>+Assumptions!DM14</f>
        <v>7.4170717777328754E-3</v>
      </c>
      <c r="CG11" s="373">
        <f>+Assumptions!DN14</f>
        <v>7.4170717777328754E-3</v>
      </c>
      <c r="CH11" s="373">
        <f>+Assumptions!DO14</f>
        <v>7.4170717777328754E-3</v>
      </c>
      <c r="CI11" s="373">
        <f>+Assumptions!DP14</f>
        <v>7.4170717777328754E-3</v>
      </c>
      <c r="CJ11" s="373">
        <f>+Assumptions!DQ14</f>
        <v>7.4170717777328754E-3</v>
      </c>
      <c r="CK11" s="373">
        <f>+Assumptions!DR14</f>
        <v>7.4170717777328754E-3</v>
      </c>
      <c r="CL11" s="373">
        <f>+Assumptions!DS14</f>
        <v>7.4170717777328754E-3</v>
      </c>
      <c r="CM11" s="373">
        <f>+Assumptions!DT14</f>
        <v>7.4170717777328754E-3</v>
      </c>
      <c r="CN11" s="373">
        <f>+Assumptions!DU14</f>
        <v>7.4170717777328754E-3</v>
      </c>
      <c r="CO11" s="373">
        <f>+Assumptions!DV14</f>
        <v>7.4170717777328754E-3</v>
      </c>
      <c r="CP11" s="373">
        <f>+Assumptions!DW14</f>
        <v>7.4170717777328754E-3</v>
      </c>
      <c r="CQ11" s="373">
        <f>+Assumptions!DX14</f>
        <v>7.4170717777328754E-3</v>
      </c>
    </row>
    <row r="12" spans="1:95" s="325" customFormat="1" ht="11.25" customHeight="1">
      <c r="A12" s="329" t="s">
        <v>382</v>
      </c>
      <c r="B12" s="391">
        <f>+Assumptions!G16</f>
        <v>0</v>
      </c>
      <c r="C12" s="391">
        <f>+Assumptions!H16</f>
        <v>0</v>
      </c>
      <c r="D12" s="391">
        <f>+Assumptions!I16</f>
        <v>0</v>
      </c>
      <c r="E12" s="391">
        <f>+Assumptions!J16</f>
        <v>3.4184999999999999</v>
      </c>
      <c r="F12" s="391">
        <f>+Assumptions!K16</f>
        <v>3.1945000000000001</v>
      </c>
      <c r="G12" s="391">
        <f>+Assumptions!L16</f>
        <v>2.9969999999999999</v>
      </c>
      <c r="H12" s="391">
        <f>+Assumptions!M16</f>
        <v>3.14</v>
      </c>
      <c r="I12" s="391">
        <f>+Assumptions!N16</f>
        <v>2.8889999999999998</v>
      </c>
      <c r="J12" s="391">
        <f>+Assumptions!O16</f>
        <v>2.8065000000000002</v>
      </c>
      <c r="K12" s="391">
        <f>+Assumptions!P16</f>
        <v>2.6964999999999999</v>
      </c>
      <c r="L12" s="391">
        <f>+Assumptions!Q16</f>
        <v>2.5495000000000001</v>
      </c>
      <c r="M12" s="391">
        <f>+Assumptions!R16</f>
        <v>2.7967</v>
      </c>
      <c r="N12" s="391">
        <f>+Assumptions!S16</f>
        <v>2.9794999999999998</v>
      </c>
      <c r="O12" s="391">
        <f>+Assumptions!T16</f>
        <v>3.4140000000000001</v>
      </c>
      <c r="P12" s="390">
        <f>+Assumptions!U16</f>
        <v>3.4169999999999998</v>
      </c>
      <c r="Q12" s="390">
        <f>+Assumptions!V16</f>
        <v>3.4169999999999998</v>
      </c>
      <c r="R12" s="390">
        <f>+Assumptions!W16</f>
        <v>3.4169999999999998</v>
      </c>
      <c r="S12" s="390">
        <f>+Assumptions!X16</f>
        <v>3.4169999999999998</v>
      </c>
      <c r="T12" s="390">
        <f>+Assumptions!Y16</f>
        <v>3.4169999999999998</v>
      </c>
      <c r="U12" s="390">
        <f>+Assumptions!Z16</f>
        <v>3.4169999999999998</v>
      </c>
      <c r="V12" s="323"/>
      <c r="W12" s="329" t="s">
        <v>381</v>
      </c>
      <c r="X12" s="391">
        <f>+Assumptions!BE16</f>
        <v>3.085</v>
      </c>
      <c r="Y12" s="391">
        <f>+Assumptions!BF16</f>
        <v>2.8605999999999998</v>
      </c>
      <c r="Z12" s="391">
        <f>+Assumptions!BG16</f>
        <v>2.66</v>
      </c>
      <c r="AA12" s="391">
        <f>+Assumptions!BH16</f>
        <v>3.2605</v>
      </c>
      <c r="AB12" s="391">
        <f>+Assumptions!BI16</f>
        <v>3.2534999999999998</v>
      </c>
      <c r="AC12" s="391">
        <f>+Assumptions!BJ16</f>
        <v>3.343</v>
      </c>
      <c r="AD12" s="391">
        <f>+Assumptions!BK16</f>
        <v>3.4184999999999999</v>
      </c>
      <c r="AE12" s="391">
        <f>+Assumptions!BL16</f>
        <v>3.3687999999999998</v>
      </c>
      <c r="AF12" s="391">
        <f>+Assumptions!BM16</f>
        <v>3.2625000000000002</v>
      </c>
      <c r="AG12" s="391">
        <f>+Assumptions!BN16</f>
        <v>3.2486000000000002</v>
      </c>
      <c r="AH12" s="391">
        <f>+Assumptions!BO16</f>
        <v>3.1945000000000001</v>
      </c>
      <c r="AI12" s="391">
        <f>+Assumptions!BP16</f>
        <v>3.1829999999999998</v>
      </c>
      <c r="AJ12" s="391">
        <f>+Assumptions!BQ16</f>
        <v>3.1684999999999999</v>
      </c>
      <c r="AK12" s="391">
        <f>+Assumptions!BR16</f>
        <v>3.0870000000000002</v>
      </c>
      <c r="AL12" s="391">
        <f>+Assumptions!BS16</f>
        <v>2.9969999999999999</v>
      </c>
      <c r="AM12" s="391">
        <f>+Assumptions!BT16</f>
        <v>2.7465000000000002</v>
      </c>
      <c r="AN12" s="391">
        <f>+Assumptions!BU16</f>
        <v>2.9664999999999999</v>
      </c>
      <c r="AO12" s="391">
        <f>+Assumptions!BV16</f>
        <v>2.976</v>
      </c>
      <c r="AP12" s="391">
        <f>+Assumptions!BW16</f>
        <v>3.14</v>
      </c>
      <c r="AQ12" s="391">
        <f>+Assumptions!BX16</f>
        <v>3.1604999999999999</v>
      </c>
      <c r="AR12" s="391">
        <f>+Assumptions!BY16</f>
        <v>3.0095000000000001</v>
      </c>
      <c r="AS12" s="391">
        <f>+Assumptions!BZ16</f>
        <v>2.8860000000000001</v>
      </c>
      <c r="AT12" s="391">
        <f>+Assumptions!CA16</f>
        <v>2.8889999999999998</v>
      </c>
      <c r="AU12" s="391">
        <f>+Assumptions!CB16</f>
        <v>2.8414999999999999</v>
      </c>
      <c r="AV12" s="391">
        <f>+Assumptions!CC16</f>
        <v>2.8264999999999998</v>
      </c>
      <c r="AW12" s="391">
        <f>+Assumptions!CD16</f>
        <v>2.7875000000000001</v>
      </c>
      <c r="AX12" s="391">
        <f>+Assumptions!CE16</f>
        <v>2.8065000000000002</v>
      </c>
      <c r="AY12" s="391">
        <f>+Assumptions!CF16</f>
        <v>2.8035000000000001</v>
      </c>
      <c r="AZ12" s="391">
        <f>+Assumptions!CG16</f>
        <v>2.8035000000000001</v>
      </c>
      <c r="BA12" s="391">
        <f>+Assumptions!CH16</f>
        <v>2.7490000000000001</v>
      </c>
      <c r="BB12" s="391">
        <f>+Assumptions!CI16</f>
        <v>2.7725</v>
      </c>
      <c r="BC12" s="391">
        <f>+Assumptions!CJ16</f>
        <v>2.6964999999999999</v>
      </c>
      <c r="BD12" s="391">
        <f>+Assumptions!CK16</f>
        <v>2.6675</v>
      </c>
      <c r="BE12" s="391">
        <f>+Assumptions!CL16</f>
        <v>2.6709999999999998</v>
      </c>
      <c r="BF12" s="391">
        <f>+Assumptions!CM16</f>
        <v>2.5975000000000001</v>
      </c>
      <c r="BG12" s="392">
        <f>+Assumptions!CN16</f>
        <v>2.5495000000000001</v>
      </c>
      <c r="BH12" s="391">
        <f>+Assumptions!CO16</f>
        <v>2.5905</v>
      </c>
      <c r="BI12" s="391">
        <f>+Assumptions!CP16</f>
        <v>2.7810000000000001</v>
      </c>
      <c r="BJ12" s="391">
        <f>+Assumptions!CQ16</f>
        <v>2.7806999999999999</v>
      </c>
      <c r="BK12" s="391">
        <f>+Assumptions!CR16</f>
        <v>2.7986</v>
      </c>
      <c r="BL12" s="391">
        <f>+Assumptions!CS16</f>
        <v>2.8085</v>
      </c>
      <c r="BM12" s="391">
        <f>+Assumptions!CT16</f>
        <v>2.8050000000000002</v>
      </c>
      <c r="BN12" s="391">
        <f>+Assumptions!CU16</f>
        <v>2.8904000000000001</v>
      </c>
      <c r="BO12" s="391">
        <f>+Assumptions!CV16</f>
        <v>2.9794999999999998</v>
      </c>
      <c r="BP12" s="391">
        <f>+Assumptions!CW16</f>
        <v>3.0964999999999998</v>
      </c>
      <c r="BQ12" s="391">
        <f>+Assumptions!CX16</f>
        <v>3.1795</v>
      </c>
      <c r="BR12" s="391">
        <f>+Assumptions!CY16</f>
        <v>3.2334000000000001</v>
      </c>
      <c r="BS12" s="391">
        <f>+Assumptions!CZ16</f>
        <v>3.4140000000000001</v>
      </c>
      <c r="BT12" s="390">
        <f>+Assumptions!DA16</f>
        <v>3.4169999999999998</v>
      </c>
      <c r="BU12" s="390">
        <f>+Assumptions!DB16</f>
        <v>3.4169999999999998</v>
      </c>
      <c r="BV12" s="390">
        <f>+Assumptions!DC16</f>
        <v>3.4169999999999998</v>
      </c>
      <c r="BW12" s="390">
        <f>+Assumptions!DD16</f>
        <v>3.4169999999999998</v>
      </c>
      <c r="BX12" s="390">
        <f>+Assumptions!DE16</f>
        <v>3.4169999999999998</v>
      </c>
      <c r="BY12" s="390">
        <f>+Assumptions!DF16</f>
        <v>3.4169999999999998</v>
      </c>
      <c r="BZ12" s="390">
        <f>+Assumptions!DG16</f>
        <v>3.4169999999999998</v>
      </c>
      <c r="CA12" s="390">
        <f>+Assumptions!DH16</f>
        <v>3.4169999999999998</v>
      </c>
      <c r="CB12" s="390">
        <f>+Assumptions!DI16</f>
        <v>3.4169999999999998</v>
      </c>
      <c r="CC12" s="390">
        <f>+Assumptions!DJ16</f>
        <v>3.4169999999999998</v>
      </c>
      <c r="CD12" s="390">
        <f>+Assumptions!DK16</f>
        <v>3.4169999999999998</v>
      </c>
      <c r="CE12" s="390">
        <f>+Assumptions!DL16</f>
        <v>3.4169999999999998</v>
      </c>
      <c r="CF12" s="390">
        <f>+Assumptions!DM16</f>
        <v>3.4169999999999998</v>
      </c>
      <c r="CG12" s="390">
        <f>+Assumptions!DN16</f>
        <v>3.4169999999999998</v>
      </c>
      <c r="CH12" s="390">
        <f>+Assumptions!DO16</f>
        <v>3.4169999999999998</v>
      </c>
      <c r="CI12" s="390">
        <f>+Assumptions!DP16</f>
        <v>3.4169999999999998</v>
      </c>
      <c r="CJ12" s="390">
        <f>+Assumptions!DQ16</f>
        <v>3.4169999999999998</v>
      </c>
      <c r="CK12" s="390">
        <f>+Assumptions!DR16</f>
        <v>3.4169999999999998</v>
      </c>
      <c r="CL12" s="390">
        <f>+Assumptions!DS16</f>
        <v>3.4169999999999998</v>
      </c>
      <c r="CM12" s="390">
        <f>+Assumptions!DT16</f>
        <v>3.4169999999999998</v>
      </c>
      <c r="CN12" s="390">
        <f>+Assumptions!DU16</f>
        <v>3.4169999999999998</v>
      </c>
      <c r="CO12" s="390">
        <f>+Assumptions!DV16</f>
        <v>3.4169999999999998</v>
      </c>
      <c r="CP12" s="390">
        <f>+Assumptions!DW16</f>
        <v>3.4169999999999998</v>
      </c>
      <c r="CQ12" s="390">
        <f>+Assumptions!DX16</f>
        <v>3.4169999999999998</v>
      </c>
    </row>
    <row r="13" spans="1:95" s="325" customFormat="1" ht="11.25" customHeight="1">
      <c r="A13" s="329" t="s">
        <v>380</v>
      </c>
      <c r="B13" s="391">
        <f>+Assumptions!G15</f>
        <v>0</v>
      </c>
      <c r="C13" s="391">
        <f>+Assumptions!H15</f>
        <v>0</v>
      </c>
      <c r="D13" s="391">
        <f>+Assumptions!I15</f>
        <v>0</v>
      </c>
      <c r="E13" s="391">
        <f>+Assumptions!J15</f>
        <v>3.2959999999999998</v>
      </c>
      <c r="F13" s="391">
        <f>+Assumptions!K15</f>
        <v>3.2742</v>
      </c>
      <c r="G13" s="391">
        <f>+Assumptions!L15</f>
        <v>3.128427531897926</v>
      </c>
      <c r="H13" s="391">
        <f>+Assumptions!M15</f>
        <v>2.9248502374939878</v>
      </c>
      <c r="I13" s="391">
        <f>+Assumptions!N15</f>
        <v>3.0115083333333335</v>
      </c>
      <c r="J13" s="391">
        <f>+Assumptions!O15</f>
        <v>2.8251249999999999</v>
      </c>
      <c r="K13" s="391">
        <f>+Assumptions!P15</f>
        <v>2.7693750000000001</v>
      </c>
      <c r="L13" s="391">
        <f>+Assumptions!Q15</f>
        <v>2.6397500000000003</v>
      </c>
      <c r="M13" s="391">
        <f>+Assumptions!R15</f>
        <v>2.7031999999999998</v>
      </c>
      <c r="N13" s="391">
        <f>+Assumptions!S15</f>
        <v>2.8393999999999999</v>
      </c>
      <c r="O13" s="391">
        <f>+Assumptions!T15</f>
        <v>3.1849672904612749</v>
      </c>
      <c r="P13" s="390">
        <f>+Assumptions!U15</f>
        <v>3.4154999999999998</v>
      </c>
      <c r="Q13" s="390">
        <f>+Assumptions!V15</f>
        <v>3.4169999999999998</v>
      </c>
      <c r="R13" s="390">
        <f>+Assumptions!W15</f>
        <v>3.4169999999999998</v>
      </c>
      <c r="S13" s="390">
        <f>+Assumptions!X15</f>
        <v>3.4169999999999998</v>
      </c>
      <c r="T13" s="390">
        <f>+Assumptions!Y15</f>
        <v>3.4169999999999998</v>
      </c>
      <c r="U13" s="390">
        <f>+Assumptions!Z15</f>
        <v>3.4169999999999998</v>
      </c>
      <c r="V13" s="323"/>
      <c r="W13" s="329" t="s">
        <v>379</v>
      </c>
      <c r="X13" s="391">
        <f>+Assumptions!BE15</f>
        <v>2.9901499999999999</v>
      </c>
      <c r="Y13" s="391">
        <f>+Assumptions!BF15</f>
        <v>2.9727999999999999</v>
      </c>
      <c r="Z13" s="391">
        <f>+Assumptions!BG15</f>
        <v>2.7603</v>
      </c>
      <c r="AA13" s="391">
        <f>+Assumptions!BH15</f>
        <v>3.2622</v>
      </c>
      <c r="AB13" s="391">
        <f>+Assumptions!BI15</f>
        <v>3.2553000000000001</v>
      </c>
      <c r="AC13" s="391">
        <f>+Assumptions!BJ15</f>
        <v>3.2726999999999999</v>
      </c>
      <c r="AD13" s="391">
        <f>+Assumptions!BK15</f>
        <v>3.3936000000000002</v>
      </c>
      <c r="AE13" s="391">
        <f>+Assumptions!BL15</f>
        <v>3.3418000000000001</v>
      </c>
      <c r="AF13" s="391">
        <f>+Assumptions!BM15</f>
        <v>3.3156499999999998</v>
      </c>
      <c r="AG13" s="391">
        <f>+Assumptions!BN15</f>
        <v>3.2555500000000004</v>
      </c>
      <c r="AH13" s="391">
        <f>+Assumptions!BO15</f>
        <v>3.2215500000000001</v>
      </c>
      <c r="AI13" s="391">
        <f>+Assumptions!BP15</f>
        <v>3.1887499999999998</v>
      </c>
      <c r="AJ13" s="391">
        <f>+Assumptions!BQ15</f>
        <v>3.1757499999999999</v>
      </c>
      <c r="AK13" s="391">
        <f>+Assumptions!BR15</f>
        <v>3.1277499999999998</v>
      </c>
      <c r="AL13" s="391">
        <f>+Assumptions!BS15</f>
        <v>3.0419999999999998</v>
      </c>
      <c r="AM13" s="391">
        <f>+Assumptions!BT15</f>
        <v>2.87175</v>
      </c>
      <c r="AN13" s="391">
        <f>+Assumptions!BU15</f>
        <v>2.8565</v>
      </c>
      <c r="AO13" s="391">
        <f>+Assumptions!BV15</f>
        <v>2.9712499999999999</v>
      </c>
      <c r="AP13" s="391">
        <f>+Assumptions!BW15</f>
        <v>3.0579999999999998</v>
      </c>
      <c r="AQ13" s="391">
        <f>+Assumptions!BX15</f>
        <v>3.1502499999999998</v>
      </c>
      <c r="AR13" s="391">
        <f>+Assumptions!BY15</f>
        <v>3.085</v>
      </c>
      <c r="AS13" s="391">
        <f>+Assumptions!BZ15</f>
        <v>2.9477500000000001</v>
      </c>
      <c r="AT13" s="391">
        <f>+Assumptions!CA15</f>
        <v>2.8875000000000002</v>
      </c>
      <c r="AU13" s="391">
        <f>+Assumptions!CB15</f>
        <v>2.8652499999999996</v>
      </c>
      <c r="AV13" s="391">
        <f>+Assumptions!CC15</f>
        <v>2.8339999999999996</v>
      </c>
      <c r="AW13" s="391">
        <f>+Assumptions!CD15</f>
        <v>2.8069999999999999</v>
      </c>
      <c r="AX13" s="391">
        <f>+Assumptions!CE15</f>
        <v>2.7970000000000002</v>
      </c>
      <c r="AY13" s="391">
        <f>+Assumptions!CF15</f>
        <v>2.8050000000000002</v>
      </c>
      <c r="AZ13" s="391">
        <f>+Assumptions!CG15</f>
        <v>2.8035000000000001</v>
      </c>
      <c r="BA13" s="391">
        <f>+Assumptions!CH15</f>
        <v>2.7762500000000001</v>
      </c>
      <c r="BB13" s="391">
        <f>+Assumptions!CI15</f>
        <v>2.7607499999999998</v>
      </c>
      <c r="BC13" s="391">
        <f>+Assumptions!CJ15</f>
        <v>2.7344999999999997</v>
      </c>
      <c r="BD13" s="391">
        <f>+Assumptions!CK15</f>
        <v>2.6819999999999999</v>
      </c>
      <c r="BE13" s="391">
        <f>+Assumptions!CL15</f>
        <v>2.6692499999999999</v>
      </c>
      <c r="BF13" s="391">
        <f>+Assumptions!CM15</f>
        <v>2.6342499999999998</v>
      </c>
      <c r="BG13" s="392">
        <f>+Assumptions!CN15</f>
        <v>2.5735000000000001</v>
      </c>
      <c r="BH13" s="391">
        <f>+Assumptions!CO15</f>
        <v>2.5700000000000003</v>
      </c>
      <c r="BI13" s="391">
        <f>+Assumptions!CP15</f>
        <v>2.6857500000000001</v>
      </c>
      <c r="BJ13" s="391">
        <f>+Assumptions!CQ15</f>
        <v>2.78085</v>
      </c>
      <c r="BK13" s="391">
        <f>+Assumptions!CR15</f>
        <v>2.78965</v>
      </c>
      <c r="BL13" s="391">
        <f>+Assumptions!CS15</f>
        <v>2.80355</v>
      </c>
      <c r="BM13" s="391">
        <f>+Assumptions!CT15</f>
        <v>2.8067500000000001</v>
      </c>
      <c r="BN13" s="391">
        <f>+Assumptions!CU15</f>
        <v>2.8477000000000001</v>
      </c>
      <c r="BO13" s="391">
        <f>+Assumptions!CV15</f>
        <v>2.9349499999999997</v>
      </c>
      <c r="BP13" s="391">
        <f>+Assumptions!CW15</f>
        <v>3.0379999999999998</v>
      </c>
      <c r="BQ13" s="391">
        <f>+Assumptions!CX15</f>
        <v>3.1434000000000002</v>
      </c>
      <c r="BR13" s="391">
        <f>+Assumptions!CY15</f>
        <v>3.2122000000000002</v>
      </c>
      <c r="BS13" s="391">
        <f>+Assumptions!CZ15</f>
        <v>3.3246640624999997</v>
      </c>
      <c r="BT13" s="390">
        <f>+Assumptions!DA15</f>
        <v>3.4154999999999998</v>
      </c>
      <c r="BU13" s="390">
        <f>+Assumptions!DB15</f>
        <v>3.4169999999999998</v>
      </c>
      <c r="BV13" s="390">
        <f>+Assumptions!DC15</f>
        <v>3.4169999999999998</v>
      </c>
      <c r="BW13" s="390">
        <f>+Assumptions!DD15</f>
        <v>3.4169999999999998</v>
      </c>
      <c r="BX13" s="390">
        <f>+Assumptions!DE15</f>
        <v>3.4169999999999998</v>
      </c>
      <c r="BY13" s="390">
        <f>+Assumptions!DF15</f>
        <v>3.4169999999999998</v>
      </c>
      <c r="BZ13" s="390">
        <f>+Assumptions!DG15</f>
        <v>3.4169999999999998</v>
      </c>
      <c r="CA13" s="390">
        <f>+Assumptions!DH15</f>
        <v>3.4169999999999998</v>
      </c>
      <c r="CB13" s="390">
        <f>+Assumptions!DI15</f>
        <v>3.4169999999999998</v>
      </c>
      <c r="CC13" s="390">
        <f>+Assumptions!DJ15</f>
        <v>3.4169999999999998</v>
      </c>
      <c r="CD13" s="390">
        <f>+Assumptions!DK15</f>
        <v>3.4169999999999998</v>
      </c>
      <c r="CE13" s="390">
        <f>+Assumptions!DL15</f>
        <v>3.4169999999999998</v>
      </c>
      <c r="CF13" s="390">
        <f>+Assumptions!DM15</f>
        <v>3.4169999999999998</v>
      </c>
      <c r="CG13" s="390">
        <f>+Assumptions!DN15</f>
        <v>3.4169999999999998</v>
      </c>
      <c r="CH13" s="390">
        <f>+Assumptions!DO15</f>
        <v>3.4169999999999998</v>
      </c>
      <c r="CI13" s="390">
        <f>+Assumptions!DP15</f>
        <v>3.4169999999999998</v>
      </c>
      <c r="CJ13" s="390">
        <f>+Assumptions!DQ15</f>
        <v>3.4169999999999998</v>
      </c>
      <c r="CK13" s="390">
        <f>+Assumptions!DR15</f>
        <v>3.4169999999999998</v>
      </c>
      <c r="CL13" s="390">
        <f>+Assumptions!DS15</f>
        <v>3.4169999999999998</v>
      </c>
      <c r="CM13" s="390">
        <f>+Assumptions!DT15</f>
        <v>3.4169999999999998</v>
      </c>
      <c r="CN13" s="390">
        <f>+Assumptions!DU15</f>
        <v>3.4169999999999998</v>
      </c>
      <c r="CO13" s="390">
        <f>+Assumptions!DV15</f>
        <v>3.4169999999999998</v>
      </c>
      <c r="CP13" s="390">
        <f>+Assumptions!DW15</f>
        <v>3.4169999999999998</v>
      </c>
      <c r="CQ13" s="390">
        <f>+Assumptions!DX15</f>
        <v>3.4169999999999998</v>
      </c>
    </row>
    <row r="14" spans="1:95" s="325" customFormat="1" ht="11.25" customHeight="1">
      <c r="A14" s="329"/>
      <c r="P14" s="326"/>
      <c r="Q14" s="326"/>
      <c r="R14" s="326"/>
      <c r="S14" s="326"/>
      <c r="T14" s="326"/>
      <c r="U14" s="326"/>
      <c r="V14" s="323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29"/>
      <c r="AP14" s="329"/>
      <c r="AQ14" s="329"/>
      <c r="AR14" s="329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  <c r="BD14" s="329"/>
      <c r="BE14" s="329"/>
      <c r="BF14" s="329"/>
      <c r="BG14" s="349"/>
      <c r="BH14" s="329"/>
      <c r="BI14" s="329"/>
      <c r="BJ14" s="329"/>
      <c r="BK14" s="329"/>
      <c r="BL14" s="329"/>
      <c r="BM14" s="329"/>
      <c r="BN14" s="329"/>
      <c r="BO14" s="329"/>
      <c r="BP14" s="329"/>
      <c r="BQ14" s="329"/>
      <c r="BR14" s="329"/>
      <c r="BS14" s="329"/>
      <c r="BT14" s="348"/>
      <c r="BU14" s="348"/>
      <c r="BV14" s="348"/>
      <c r="BW14" s="348"/>
      <c r="BX14" s="348"/>
      <c r="BY14" s="348"/>
      <c r="BZ14" s="348"/>
      <c r="CA14" s="348"/>
      <c r="CB14" s="348"/>
      <c r="CC14" s="348"/>
      <c r="CD14" s="348"/>
      <c r="CE14" s="348"/>
      <c r="CF14" s="348"/>
      <c r="CG14" s="348"/>
      <c r="CH14" s="348"/>
      <c r="CI14" s="348"/>
      <c r="CJ14" s="348"/>
      <c r="CK14" s="348"/>
      <c r="CL14" s="348"/>
      <c r="CM14" s="348"/>
      <c r="CN14" s="348"/>
      <c r="CO14" s="348"/>
      <c r="CP14" s="348"/>
      <c r="CQ14" s="348"/>
    </row>
    <row r="15" spans="1:95" s="325" customFormat="1" ht="11.25" customHeight="1">
      <c r="A15" s="354" t="s">
        <v>150</v>
      </c>
      <c r="B15" s="299">
        <f t="shared" ref="B15:S15" si="0">B7</f>
        <v>2002</v>
      </c>
      <c r="C15" s="299">
        <f t="shared" si="0"/>
        <v>2003</v>
      </c>
      <c r="D15" s="299">
        <f t="shared" si="0"/>
        <v>2004</v>
      </c>
      <c r="E15" s="299">
        <f t="shared" si="0"/>
        <v>2005</v>
      </c>
      <c r="F15" s="299">
        <f t="shared" si="0"/>
        <v>2006</v>
      </c>
      <c r="G15" s="299">
        <f t="shared" si="0"/>
        <v>2007</v>
      </c>
      <c r="H15" s="299">
        <f t="shared" si="0"/>
        <v>2008</v>
      </c>
      <c r="I15" s="299">
        <f t="shared" si="0"/>
        <v>2009</v>
      </c>
      <c r="J15" s="299">
        <f t="shared" si="0"/>
        <v>2010</v>
      </c>
      <c r="K15" s="299">
        <f t="shared" si="0"/>
        <v>2011</v>
      </c>
      <c r="L15" s="299">
        <f t="shared" si="0"/>
        <v>2012</v>
      </c>
      <c r="M15" s="299">
        <f t="shared" si="0"/>
        <v>2013</v>
      </c>
      <c r="N15" s="299">
        <f t="shared" si="0"/>
        <v>2014</v>
      </c>
      <c r="O15" s="299">
        <f t="shared" si="0"/>
        <v>2015</v>
      </c>
      <c r="P15" s="181" t="str">
        <f t="shared" si="0"/>
        <v>2016E</v>
      </c>
      <c r="Q15" s="181" t="str">
        <f t="shared" si="0"/>
        <v>2017E</v>
      </c>
      <c r="R15" s="181" t="str">
        <f t="shared" si="0"/>
        <v>2018E</v>
      </c>
      <c r="S15" s="181" t="str">
        <f t="shared" si="0"/>
        <v>2019E</v>
      </c>
      <c r="T15" s="181" t="str">
        <f t="shared" ref="T15:U15" si="1">T7</f>
        <v>2020E</v>
      </c>
      <c r="U15" s="181" t="str">
        <f t="shared" si="1"/>
        <v>2021E</v>
      </c>
      <c r="V15" s="323"/>
      <c r="W15" s="354" t="s">
        <v>150</v>
      </c>
      <c r="X15" s="352" t="str">
        <f t="shared" ref="X15:BC15" si="2">X7</f>
        <v>1Q04</v>
      </c>
      <c r="Y15" s="352" t="str">
        <f t="shared" si="2"/>
        <v>2Q04</v>
      </c>
      <c r="Z15" s="352" t="str">
        <f t="shared" si="2"/>
        <v>3Q04</v>
      </c>
      <c r="AA15" s="352" t="str">
        <f t="shared" si="2"/>
        <v>4Q04</v>
      </c>
      <c r="AB15" s="352" t="str">
        <f t="shared" si="2"/>
        <v>1Q05</v>
      </c>
      <c r="AC15" s="352" t="str">
        <f t="shared" si="2"/>
        <v>2Q05</v>
      </c>
      <c r="AD15" s="352" t="str">
        <f t="shared" si="2"/>
        <v>3Q05</v>
      </c>
      <c r="AE15" s="352" t="str">
        <f t="shared" si="2"/>
        <v>4Q05</v>
      </c>
      <c r="AF15" s="352" t="str">
        <f t="shared" si="2"/>
        <v>1Q06</v>
      </c>
      <c r="AG15" s="352" t="str">
        <f t="shared" si="2"/>
        <v>2Q06</v>
      </c>
      <c r="AH15" s="352" t="str">
        <f t="shared" si="2"/>
        <v>3Q06</v>
      </c>
      <c r="AI15" s="352" t="str">
        <f t="shared" si="2"/>
        <v>4Q06</v>
      </c>
      <c r="AJ15" s="352" t="str">
        <f t="shared" si="2"/>
        <v>1Q07</v>
      </c>
      <c r="AK15" s="352" t="str">
        <f t="shared" si="2"/>
        <v>2Q07</v>
      </c>
      <c r="AL15" s="352" t="str">
        <f t="shared" si="2"/>
        <v>3Q07</v>
      </c>
      <c r="AM15" s="352" t="str">
        <f t="shared" si="2"/>
        <v>4Q07</v>
      </c>
      <c r="AN15" s="352" t="str">
        <f t="shared" si="2"/>
        <v>1Q08</v>
      </c>
      <c r="AO15" s="352" t="str">
        <f t="shared" si="2"/>
        <v>2Q08</v>
      </c>
      <c r="AP15" s="352" t="str">
        <f t="shared" si="2"/>
        <v>3Q08</v>
      </c>
      <c r="AQ15" s="352" t="str">
        <f t="shared" si="2"/>
        <v>4Q08</v>
      </c>
      <c r="AR15" s="352" t="str">
        <f t="shared" si="2"/>
        <v>1Q09</v>
      </c>
      <c r="AS15" s="352" t="str">
        <f t="shared" si="2"/>
        <v>2Q09</v>
      </c>
      <c r="AT15" s="352" t="str">
        <f t="shared" si="2"/>
        <v>3Q09</v>
      </c>
      <c r="AU15" s="352" t="str">
        <f t="shared" si="2"/>
        <v>4Q09</v>
      </c>
      <c r="AV15" s="352" t="str">
        <f t="shared" si="2"/>
        <v>1Q10</v>
      </c>
      <c r="AW15" s="352" t="str">
        <f t="shared" si="2"/>
        <v>2Q10</v>
      </c>
      <c r="AX15" s="352" t="str">
        <f t="shared" si="2"/>
        <v>3Q10</v>
      </c>
      <c r="AY15" s="352" t="str">
        <f t="shared" si="2"/>
        <v>4Q10</v>
      </c>
      <c r="AZ15" s="352" t="str">
        <f t="shared" si="2"/>
        <v>1Q11</v>
      </c>
      <c r="BA15" s="352" t="str">
        <f t="shared" si="2"/>
        <v>2Q11</v>
      </c>
      <c r="BB15" s="352" t="str">
        <f t="shared" si="2"/>
        <v>3Q11</v>
      </c>
      <c r="BC15" s="352" t="str">
        <f t="shared" si="2"/>
        <v>4Q11</v>
      </c>
      <c r="BD15" s="352" t="str">
        <f t="shared" ref="BD15:CI15" si="3">BD7</f>
        <v>1Q12</v>
      </c>
      <c r="BE15" s="352" t="str">
        <f t="shared" si="3"/>
        <v>2Q12</v>
      </c>
      <c r="BF15" s="352" t="str">
        <f t="shared" si="3"/>
        <v>3Q12</v>
      </c>
      <c r="BG15" s="353" t="str">
        <f t="shared" si="3"/>
        <v>4Q12</v>
      </c>
      <c r="BH15" s="352" t="str">
        <f t="shared" si="3"/>
        <v>1Q13</v>
      </c>
      <c r="BI15" s="352" t="str">
        <f t="shared" ref="BI15" si="4">BI7</f>
        <v>2Q13</v>
      </c>
      <c r="BJ15" s="352" t="str">
        <f t="shared" si="3"/>
        <v>3Q13</v>
      </c>
      <c r="BK15" s="352" t="str">
        <f t="shared" si="3"/>
        <v>4Q13</v>
      </c>
      <c r="BL15" s="352" t="str">
        <f t="shared" ref="BL15" si="5">BL7</f>
        <v>1Q14</v>
      </c>
      <c r="BM15" s="352" t="str">
        <f t="shared" si="3"/>
        <v>2Q14</v>
      </c>
      <c r="BN15" s="352" t="str">
        <f t="shared" ref="BN15:BO15" si="6">BN7</f>
        <v>3Q14</v>
      </c>
      <c r="BO15" s="352" t="str">
        <f t="shared" si="6"/>
        <v>4Q14</v>
      </c>
      <c r="BP15" s="352" t="str">
        <f t="shared" si="3"/>
        <v>1Q15</v>
      </c>
      <c r="BQ15" s="352" t="str">
        <f t="shared" si="3"/>
        <v>2Q15</v>
      </c>
      <c r="BR15" s="352" t="str">
        <f t="shared" ref="BR15:BS15" si="7">BR7</f>
        <v>3Q15</v>
      </c>
      <c r="BS15" s="352" t="str">
        <f t="shared" si="7"/>
        <v>4Q15</v>
      </c>
      <c r="BT15" s="181" t="str">
        <f t="shared" si="3"/>
        <v>1Q16E</v>
      </c>
      <c r="BU15" s="181" t="str">
        <f t="shared" si="3"/>
        <v>2Q16E</v>
      </c>
      <c r="BV15" s="181" t="str">
        <f t="shared" si="3"/>
        <v>3Q16E</v>
      </c>
      <c r="BW15" s="181" t="str">
        <f t="shared" si="3"/>
        <v>4Q16E</v>
      </c>
      <c r="BX15" s="181" t="str">
        <f t="shared" si="3"/>
        <v>1Q17E</v>
      </c>
      <c r="BY15" s="181" t="str">
        <f t="shared" si="3"/>
        <v>2Q17E</v>
      </c>
      <c r="BZ15" s="181" t="str">
        <f t="shared" si="3"/>
        <v>3Q17E</v>
      </c>
      <c r="CA15" s="181" t="str">
        <f t="shared" si="3"/>
        <v>4Q17E</v>
      </c>
      <c r="CB15" s="181" t="str">
        <f t="shared" si="3"/>
        <v>1Q18E</v>
      </c>
      <c r="CC15" s="181" t="str">
        <f t="shared" si="3"/>
        <v>2Q18E</v>
      </c>
      <c r="CD15" s="181" t="str">
        <f t="shared" si="3"/>
        <v>3Q18E</v>
      </c>
      <c r="CE15" s="181" t="str">
        <f t="shared" si="3"/>
        <v>4Q18E</v>
      </c>
      <c r="CF15" s="181" t="str">
        <f t="shared" si="3"/>
        <v>1Q19E</v>
      </c>
      <c r="CG15" s="181" t="str">
        <f t="shared" si="3"/>
        <v>2Q19E</v>
      </c>
      <c r="CH15" s="181" t="str">
        <f t="shared" si="3"/>
        <v>3Q19E</v>
      </c>
      <c r="CI15" s="181" t="str">
        <f t="shared" si="3"/>
        <v>4Q19E</v>
      </c>
      <c r="CJ15" s="181" t="str">
        <f t="shared" ref="CJ15:CM15" si="8">CJ7</f>
        <v>1Q20E</v>
      </c>
      <c r="CK15" s="181" t="str">
        <f t="shared" si="8"/>
        <v>2Q20E</v>
      </c>
      <c r="CL15" s="181" t="str">
        <f t="shared" si="8"/>
        <v>3Q20E</v>
      </c>
      <c r="CM15" s="181" t="str">
        <f t="shared" si="8"/>
        <v>4Q20E</v>
      </c>
      <c r="CN15" s="181" t="str">
        <f t="shared" ref="CN15:CQ15" si="9">CN7</f>
        <v>1Q21E</v>
      </c>
      <c r="CO15" s="181" t="str">
        <f t="shared" si="9"/>
        <v>2Q21E</v>
      </c>
      <c r="CP15" s="181" t="str">
        <f t="shared" si="9"/>
        <v>3Q21E</v>
      </c>
      <c r="CQ15" s="181" t="str">
        <f t="shared" si="9"/>
        <v>4Q21E</v>
      </c>
    </row>
    <row r="16" spans="1:95" s="325" customFormat="1" ht="3.75" customHeight="1">
      <c r="A16" s="376"/>
      <c r="P16" s="326"/>
      <c r="Q16" s="326"/>
      <c r="R16" s="326"/>
      <c r="S16" s="326"/>
      <c r="T16" s="326"/>
      <c r="U16" s="326"/>
      <c r="V16" s="323"/>
      <c r="W16" s="376"/>
      <c r="X16" s="329"/>
      <c r="Y16" s="329"/>
      <c r="Z16" s="329"/>
      <c r="AA16" s="329"/>
      <c r="AB16" s="329"/>
      <c r="AC16" s="329"/>
      <c r="AD16" s="329"/>
      <c r="AE16" s="329"/>
      <c r="AF16" s="329"/>
      <c r="AG16" s="329"/>
      <c r="AH16" s="329"/>
      <c r="AI16" s="329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  <c r="BD16" s="329"/>
      <c r="BE16" s="329"/>
      <c r="BF16" s="329"/>
      <c r="BG16" s="349"/>
      <c r="BH16" s="329"/>
      <c r="BI16" s="329"/>
      <c r="BJ16" s="329"/>
      <c r="BK16" s="329"/>
      <c r="BL16" s="329"/>
      <c r="BM16" s="329"/>
      <c r="BN16" s="329"/>
      <c r="BO16" s="329"/>
      <c r="BP16" s="329"/>
      <c r="BQ16" s="329"/>
      <c r="BR16" s="329"/>
      <c r="BS16" s="329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</row>
    <row r="17" spans="1:95" s="325" customFormat="1" ht="11.25" customHeight="1">
      <c r="A17" s="418" t="s">
        <v>378</v>
      </c>
      <c r="B17" s="320">
        <f>('Income Statement'!G11)/1000</f>
        <v>0</v>
      </c>
      <c r="C17" s="320">
        <f>('Income Statement'!H11)/1000</f>
        <v>0</v>
      </c>
      <c r="D17" s="320">
        <f>('Income Statement'!I11)/1000</f>
        <v>0</v>
      </c>
      <c r="E17" s="320">
        <f>('Income Statement'!J11)/1000</f>
        <v>0</v>
      </c>
      <c r="F17" s="320">
        <f>('Income Statement'!K11)/1000</f>
        <v>0</v>
      </c>
      <c r="G17" s="320">
        <f>('Income Statement'!L11)/1000</f>
        <v>0</v>
      </c>
      <c r="H17" s="320">
        <f>('Income Statement'!M11)/1000</f>
        <v>0</v>
      </c>
      <c r="I17" s="320">
        <f>('Income Statement'!N11)/1000</f>
        <v>3968.6026286095789</v>
      </c>
      <c r="J17" s="320">
        <f>('Income Statement'!O11)/1000</f>
        <v>4090.0823081440794</v>
      </c>
      <c r="K17" s="320">
        <f>('Income Statement'!P11)/1000</f>
        <v>5055.2384557967198</v>
      </c>
      <c r="L17" s="320">
        <f>('Income Statement'!Q11)/1000</f>
        <v>6079.2740197890416</v>
      </c>
      <c r="M17" s="320">
        <f>('Income Statement'!R11)/1000</f>
        <v>7024.0298106642904</v>
      </c>
      <c r="N17" s="320">
        <f>('Income Statement'!S11)/1000</f>
        <v>8552.5040000000008</v>
      </c>
      <c r="O17" s="320">
        <f>('Income Statement'!T11)/1000</f>
        <v>10022.945</v>
      </c>
      <c r="P17" s="95">
        <f>('Income Statement'!U11)/1000</f>
        <v>12077.642207013312</v>
      </c>
      <c r="Q17" s="95">
        <f>('Income Statement'!V11)/1000</f>
        <v>13223.777799015757</v>
      </c>
      <c r="R17" s="95">
        <f>('Income Statement'!W11)/1000</f>
        <v>14345.212840468192</v>
      </c>
      <c r="S17" s="95">
        <f>('Income Statement'!X11)/1000</f>
        <v>15725.022479405621</v>
      </c>
      <c r="T17" s="95">
        <f>('Income Statement'!Y11)/1000</f>
        <v>17341.544778863008</v>
      </c>
      <c r="U17" s="95">
        <f>('Income Statement'!Z11)/1000</f>
        <v>19241.526971062856</v>
      </c>
      <c r="V17" s="323"/>
      <c r="W17" s="418" t="s">
        <v>378</v>
      </c>
      <c r="X17" s="416">
        <f>('Income Statement'!BE11)/1000</f>
        <v>0</v>
      </c>
      <c r="Y17" s="416">
        <f>('Income Statement'!BF11)/1000</f>
        <v>0</v>
      </c>
      <c r="Z17" s="416">
        <f>('Income Statement'!BG11)/1000</f>
        <v>0</v>
      </c>
      <c r="AA17" s="416">
        <f>('Income Statement'!BH11)/1000</f>
        <v>0</v>
      </c>
      <c r="AB17" s="416">
        <f>('Income Statement'!BI11)/1000</f>
        <v>0</v>
      </c>
      <c r="AC17" s="416">
        <f>('Income Statement'!BJ11)/1000</f>
        <v>0</v>
      </c>
      <c r="AD17" s="416">
        <f>('Income Statement'!BK11)/1000</f>
        <v>0</v>
      </c>
      <c r="AE17" s="416">
        <f>('Income Statement'!BL11)/1000</f>
        <v>0</v>
      </c>
      <c r="AF17" s="416">
        <f>('Income Statement'!BM11)/1000</f>
        <v>0</v>
      </c>
      <c r="AG17" s="416">
        <f>('Income Statement'!BN11)/1000</f>
        <v>0</v>
      </c>
      <c r="AH17" s="416">
        <f>('Income Statement'!BO11)/1000</f>
        <v>0</v>
      </c>
      <c r="AI17" s="416">
        <f>('Income Statement'!BP11)/1000</f>
        <v>0</v>
      </c>
      <c r="AJ17" s="416">
        <f>('Income Statement'!BQ11)/1000</f>
        <v>0</v>
      </c>
      <c r="AK17" s="416">
        <f>('Income Statement'!BR11)/1000</f>
        <v>0</v>
      </c>
      <c r="AL17" s="416">
        <f>('Income Statement'!BS11)/1000</f>
        <v>0</v>
      </c>
      <c r="AM17" s="416">
        <f>('Income Statement'!BT11)/1000</f>
        <v>0</v>
      </c>
      <c r="AN17" s="416">
        <f>('Income Statement'!BU11)/1000</f>
        <v>0</v>
      </c>
      <c r="AO17" s="416">
        <f>('Income Statement'!BV11)/1000</f>
        <v>0</v>
      </c>
      <c r="AP17" s="416">
        <f>('Income Statement'!BW11)/1000</f>
        <v>0</v>
      </c>
      <c r="AQ17" s="416">
        <f>('Income Statement'!BX11)/1000</f>
        <v>0</v>
      </c>
      <c r="AR17" s="416">
        <f>('Income Statement'!BY11)/1000</f>
        <v>1040.7870947143401</v>
      </c>
      <c r="AS17" s="416">
        <f>('Income Statement'!BZ11)/1000</f>
        <v>1028.9042835035796</v>
      </c>
      <c r="AT17" s="416">
        <f>('Income Statement'!CA11)/1000</f>
        <v>945.33132673563762</v>
      </c>
      <c r="AU17" s="416">
        <f>('Income Statement'!CB11)/1000</f>
        <v>953.57992365602149</v>
      </c>
      <c r="AV17" s="416">
        <f>('Income Statement'!CC11)/1000</f>
        <v>947.63426797233012</v>
      </c>
      <c r="AW17" s="416">
        <f>('Income Statement'!CD11)/1000</f>
        <v>976.97901322715984</v>
      </c>
      <c r="AX17" s="416">
        <f>('Income Statement'!CE11)/1000</f>
        <v>1049.5062771876203</v>
      </c>
      <c r="AY17" s="416">
        <f>('Income Statement'!CF11)/1000</f>
        <v>1115.9627497569695</v>
      </c>
      <c r="AZ17" s="416">
        <f>('Income Statement'!CG11)/1000</f>
        <v>1200.2302003320301</v>
      </c>
      <c r="BA17" s="416">
        <f>('Income Statement'!CH11)/1000</f>
        <v>1225.2078500443499</v>
      </c>
      <c r="BB17" s="416">
        <f>('Income Statement'!CI11)/1000</f>
        <v>1279.9236337589994</v>
      </c>
      <c r="BC17" s="416">
        <f>('Income Statement'!CJ11)/1000</f>
        <v>1349.8767716613402</v>
      </c>
      <c r="BD17" s="416">
        <f>('Income Statement'!CK11)/1000</f>
        <v>1404.7282494441499</v>
      </c>
      <c r="BE17" s="416">
        <f>('Income Statement'!CL11)/1000</f>
        <v>1496.2409391634606</v>
      </c>
      <c r="BF17" s="416">
        <f>('Income Statement'!CM11)/1000</f>
        <v>1563.4676635485896</v>
      </c>
      <c r="BG17" s="417">
        <f>('Income Statement'!CN11)/1000</f>
        <v>1614.8371676328413</v>
      </c>
      <c r="BH17" s="416">
        <f>('Income Statement'!CO11)/1000</f>
        <v>1666.7534923186597</v>
      </c>
      <c r="BI17" s="416">
        <f>('Income Statement'!CP11)/1000</f>
        <v>1719.3541807803199</v>
      </c>
      <c r="BJ17" s="416">
        <f>('Income Statement'!CQ11)/1000</f>
        <v>1811.9740134670765</v>
      </c>
      <c r="BK17" s="416">
        <f>('Income Statement'!CR11)/1000</f>
        <v>1825.9481240982352</v>
      </c>
      <c r="BL17" s="416">
        <f>('Income Statement'!CS11)/1000</f>
        <v>1876.18</v>
      </c>
      <c r="BM17" s="416">
        <f>('Income Statement'!CT11)/1000</f>
        <v>2144.7370000000001</v>
      </c>
      <c r="BN17" s="416">
        <f>('Income Statement'!CU11)/1000</f>
        <v>2248.9360000000001</v>
      </c>
      <c r="BO17" s="416">
        <f>('Income Statement'!CV11)/1000</f>
        <v>2282.6509999999998</v>
      </c>
      <c r="BP17" s="416">
        <f>('Income Statement'!CW11)/1000</f>
        <v>2377.2170000000001</v>
      </c>
      <c r="BQ17" s="416">
        <f>('Income Statement'!CX11)/1000</f>
        <v>2457.5210000000002</v>
      </c>
      <c r="BR17" s="416">
        <f>('Income Statement'!CY11)/1000</f>
        <v>2517.9639999999999</v>
      </c>
      <c r="BS17" s="416">
        <f>('Income Statement'!CZ11)/1000</f>
        <v>2670.2429999999999</v>
      </c>
      <c r="BT17" s="415">
        <f>('Income Statement'!DA11)/1000</f>
        <v>2849.2845162687031</v>
      </c>
      <c r="BU17" s="415">
        <f>('Income Statement'!DB11)/1000</f>
        <v>2959.9284195245623</v>
      </c>
      <c r="BV17" s="415">
        <f>('Income Statement'!DC11)/1000</f>
        <v>3083.9981283764068</v>
      </c>
      <c r="BW17" s="415">
        <f>('Income Statement'!DD11)/1000</f>
        <v>3184.4311428436413</v>
      </c>
      <c r="BX17" s="415">
        <f>('Income Statement'!DE11)/1000</f>
        <v>3226.9345190215477</v>
      </c>
      <c r="BY17" s="415">
        <f>('Income Statement'!DF11)/1000</f>
        <v>3263.2912127240579</v>
      </c>
      <c r="BZ17" s="415">
        <f>('Income Statement'!DG11)/1000</f>
        <v>3331.8404165091497</v>
      </c>
      <c r="CA17" s="415">
        <f>('Income Statement'!DH11)/1000</f>
        <v>3401.7116507609999</v>
      </c>
      <c r="CB17" s="415">
        <f>('Income Statement'!DI11)/1000</f>
        <v>3447.855426250791</v>
      </c>
      <c r="CC17" s="415">
        <f>('Income Statement'!DJ11)/1000</f>
        <v>3548.271916901042</v>
      </c>
      <c r="CD17" s="415">
        <f>('Income Statement'!DK11)/1000</f>
        <v>3624.4863918907522</v>
      </c>
      <c r="CE17" s="415">
        <f>('Income Statement'!DL11)/1000</f>
        <v>3724.599105425606</v>
      </c>
      <c r="CF17" s="415">
        <f>('Income Statement'!DM11)/1000</f>
        <v>3796.4893781900632</v>
      </c>
      <c r="CG17" s="415">
        <f>('Income Statement'!DN11)/1000</f>
        <v>3886.0610314470446</v>
      </c>
      <c r="CH17" s="415">
        <f>('Income Statement'!DO11)/1000</f>
        <v>3970.7234103638239</v>
      </c>
      <c r="CI17" s="415">
        <f>('Income Statement'!DP11)/1000</f>
        <v>4071.7486594046895</v>
      </c>
      <c r="CJ17" s="415">
        <f>('Income Statement'!DQ11)/1000</f>
        <v>4165.3853142727767</v>
      </c>
      <c r="CK17" s="415">
        <f>('Income Statement'!DR11)/1000</f>
        <v>4280.4804848897265</v>
      </c>
      <c r="CL17" s="415">
        <f>('Income Statement'!DS11)/1000</f>
        <v>4388.4256210475751</v>
      </c>
      <c r="CM17" s="415">
        <f>('Income Statement'!DT11)/1000</f>
        <v>4507.2533586529298</v>
      </c>
      <c r="CN17" s="415">
        <f>('Income Statement'!DU11)/1000</f>
        <v>4615.0684437413202</v>
      </c>
      <c r="CO17" s="415">
        <f>('Income Statement'!DV11)/1000</f>
        <v>4747.2773282195394</v>
      </c>
      <c r="CP17" s="415">
        <f>('Income Statement'!DW11)/1000</f>
        <v>4871.7053141689039</v>
      </c>
      <c r="CQ17" s="415">
        <f>('Income Statement'!DX11)/1000</f>
        <v>5007.4758849330965</v>
      </c>
    </row>
    <row r="18" spans="1:95" s="325" customFormat="1" ht="11.25" customHeight="1">
      <c r="A18" s="376" t="s">
        <v>377</v>
      </c>
      <c r="B18" s="94">
        <f>('Income Statement'!G12)/1000</f>
        <v>0</v>
      </c>
      <c r="C18" s="94">
        <f>('Income Statement'!H12)/1000</f>
        <v>0</v>
      </c>
      <c r="D18" s="94">
        <f>('Income Statement'!I12)/1000</f>
        <v>0</v>
      </c>
      <c r="E18" s="94">
        <f>('Income Statement'!J12)/1000</f>
        <v>0</v>
      </c>
      <c r="F18" s="94">
        <f>('Income Statement'!K12)/1000</f>
        <v>0</v>
      </c>
      <c r="G18" s="94">
        <f>('Income Statement'!L12)/1000</f>
        <v>0</v>
      </c>
      <c r="H18" s="94">
        <f>('Income Statement'!M12)/1000</f>
        <v>0</v>
      </c>
      <c r="I18" s="94">
        <f>('Income Statement'!N12)/1000</f>
        <v>-1259.6472527873302</v>
      </c>
      <c r="J18" s="94">
        <f>('Income Statement'!O12)/1000</f>
        <v>-1102.7698120726798</v>
      </c>
      <c r="K18" s="94">
        <f>('Income Statement'!P12)/1000</f>
        <v>-1462.02980933708</v>
      </c>
      <c r="L18" s="94">
        <f>('Income Statement'!Q12)/1000</f>
        <v>-1836.7181015462802</v>
      </c>
      <c r="M18" s="94">
        <f>('Income Statement'!R12)/1000</f>
        <v>-2059.4792622328323</v>
      </c>
      <c r="N18" s="94">
        <f>('Income Statement'!S12)/1000</f>
        <v>-2142.6990000000001</v>
      </c>
      <c r="O18" s="94">
        <f>('Income Statement'!T12)/1000</f>
        <v>-2558.049</v>
      </c>
      <c r="P18" s="90">
        <f ca="1">('Income Statement'!U12)/1000</f>
        <v>-3862.9200766927793</v>
      </c>
      <c r="Q18" s="90">
        <f ca="1">('Income Statement'!V12)/1000</f>
        <v>-4177.5646431348896</v>
      </c>
      <c r="R18" s="90">
        <f ca="1">('Income Statement'!W12)/1000</f>
        <v>-4300.936796425849</v>
      </c>
      <c r="S18" s="90">
        <f ca="1">('Income Statement'!X12)/1000</f>
        <v>-4601.658806486661</v>
      </c>
      <c r="T18" s="90">
        <f ca="1">('Income Statement'!Y12)/1000</f>
        <v>-4895.092257410829</v>
      </c>
      <c r="U18" s="90">
        <f ca="1">('Income Statement'!Z12)/1000</f>
        <v>-5276.5063053032409</v>
      </c>
      <c r="V18" s="323"/>
      <c r="W18" s="376" t="s">
        <v>377</v>
      </c>
      <c r="X18" s="367">
        <f>('Income Statement'!BE12)/1000</f>
        <v>0</v>
      </c>
      <c r="Y18" s="367">
        <f>('Income Statement'!BF12)/1000</f>
        <v>0</v>
      </c>
      <c r="Z18" s="367">
        <f>('Income Statement'!BG12)/1000</f>
        <v>0</v>
      </c>
      <c r="AA18" s="367">
        <f>('Income Statement'!BH12)/1000</f>
        <v>0</v>
      </c>
      <c r="AB18" s="367">
        <f>('Income Statement'!BI12)/1000</f>
        <v>0</v>
      </c>
      <c r="AC18" s="367">
        <f>('Income Statement'!BJ12)/1000</f>
        <v>0</v>
      </c>
      <c r="AD18" s="367">
        <f>('Income Statement'!BK12)/1000</f>
        <v>0</v>
      </c>
      <c r="AE18" s="367">
        <f>('Income Statement'!BL12)/1000</f>
        <v>0</v>
      </c>
      <c r="AF18" s="367">
        <f>('Income Statement'!BM12)/1000</f>
        <v>0</v>
      </c>
      <c r="AG18" s="367">
        <f>('Income Statement'!BN12)/1000</f>
        <v>0</v>
      </c>
      <c r="AH18" s="367">
        <f>('Income Statement'!BO12)/1000</f>
        <v>0</v>
      </c>
      <c r="AI18" s="367">
        <f>('Income Statement'!BP12)/1000</f>
        <v>0</v>
      </c>
      <c r="AJ18" s="367">
        <f>('Income Statement'!BQ12)/1000</f>
        <v>0</v>
      </c>
      <c r="AK18" s="367">
        <f>('Income Statement'!BR12)/1000</f>
        <v>0</v>
      </c>
      <c r="AL18" s="367">
        <f>('Income Statement'!BS12)/1000</f>
        <v>0</v>
      </c>
      <c r="AM18" s="367">
        <f>('Income Statement'!BT12)/1000</f>
        <v>0</v>
      </c>
      <c r="AN18" s="367">
        <f>('Income Statement'!BU12)/1000</f>
        <v>0</v>
      </c>
      <c r="AO18" s="367">
        <f>('Income Statement'!BV12)/1000</f>
        <v>0</v>
      </c>
      <c r="AP18" s="367">
        <f>('Income Statement'!BW12)/1000</f>
        <v>0</v>
      </c>
      <c r="AQ18" s="367">
        <f>('Income Statement'!BX12)/1000</f>
        <v>0</v>
      </c>
      <c r="AR18" s="367">
        <f>('Income Statement'!BY12)/1000</f>
        <v>-383.24531433752003</v>
      </c>
      <c r="AS18" s="367">
        <f>('Income Statement'!BZ12)/1000</f>
        <v>-328.37884080742987</v>
      </c>
      <c r="AT18" s="367">
        <f>('Income Statement'!CA12)/1000</f>
        <v>-282.53919181677992</v>
      </c>
      <c r="AU18" s="367">
        <f>('Income Statement'!CB12)/1000</f>
        <v>-265.48390582560029</v>
      </c>
      <c r="AV18" s="367">
        <f>('Income Statement'!CC12)/1000</f>
        <v>-248.21837507595001</v>
      </c>
      <c r="AW18" s="367">
        <f>('Income Statement'!CD12)/1000</f>
        <v>-243.18442455988</v>
      </c>
      <c r="AX18" s="367">
        <f>('Income Statement'!CE12)/1000</f>
        <v>-288.90290899544988</v>
      </c>
      <c r="AY18" s="367">
        <f>('Income Statement'!CF12)/1000</f>
        <v>-322.46410344140003</v>
      </c>
      <c r="AZ18" s="367">
        <f>('Income Statement'!CG12)/1000</f>
        <v>-336.74023356973998</v>
      </c>
      <c r="BA18" s="367">
        <f>('Income Statement'!CH12)/1000</f>
        <v>-362.60092391103007</v>
      </c>
      <c r="BB18" s="367">
        <f>('Income Statement'!CI12)/1000</f>
        <v>-372.44594119164998</v>
      </c>
      <c r="BC18" s="367">
        <f>('Income Statement'!CJ12)/1000</f>
        <v>-390.24271066466002</v>
      </c>
      <c r="BD18" s="367">
        <f>('Income Statement'!CK12)/1000</f>
        <v>-408.04259399838003</v>
      </c>
      <c r="BE18" s="367">
        <f>('Income Statement'!CL12)/1000</f>
        <v>-443.54276195493992</v>
      </c>
      <c r="BF18" s="367">
        <f>('Income Statement'!CM12)/1000</f>
        <v>-478.82104368837008</v>
      </c>
      <c r="BG18" s="388">
        <f>('Income Statement'!CN12)/1000</f>
        <v>-506.31170190458988</v>
      </c>
      <c r="BH18" s="367">
        <f>('Income Statement'!CO12)/1000</f>
        <v>-502.13869950704998</v>
      </c>
      <c r="BI18" s="367">
        <f>('Income Statement'!CP12)/1000</f>
        <v>-520.40683070258001</v>
      </c>
      <c r="BJ18" s="367">
        <f>('Income Statement'!CQ12)/1000</f>
        <v>-530.4074865722655</v>
      </c>
      <c r="BK18" s="367">
        <f>('Income Statement'!CR12)/1000</f>
        <v>-506.52624545093659</v>
      </c>
      <c r="BL18" s="367">
        <f>('Income Statement'!CS12)/1000</f>
        <v>-474.45699999999999</v>
      </c>
      <c r="BM18" s="367">
        <f>('Income Statement'!CT12)/1000</f>
        <v>-534.23699999999997</v>
      </c>
      <c r="BN18" s="367">
        <f>('Income Statement'!CU12)/1000</f>
        <v>-562.75199999999995</v>
      </c>
      <c r="BO18" s="367">
        <f>('Income Statement'!CV12)/1000</f>
        <v>-571.25300000000004</v>
      </c>
      <c r="BP18" s="367">
        <f>('Income Statement'!CW12)/1000</f>
        <v>-591.85400000000004</v>
      </c>
      <c r="BQ18" s="367">
        <f>('Income Statement'!CX12)/1000</f>
        <v>-620.32100000000003</v>
      </c>
      <c r="BR18" s="367">
        <f>('Income Statement'!CY12)/1000</f>
        <v>-651.07100000000003</v>
      </c>
      <c r="BS18" s="367">
        <f>('Income Statement'!CZ12)/1000</f>
        <v>-694.803</v>
      </c>
      <c r="BT18" s="387">
        <f ca="1">('Income Statement'!DA12)/1000</f>
        <v>-856.56557785951588</v>
      </c>
      <c r="BU18" s="387">
        <f ca="1">('Income Statement'!DB12)/1000</f>
        <v>-945.33974148634627</v>
      </c>
      <c r="BV18" s="387">
        <f ca="1">('Income Statement'!DC12)/1000</f>
        <v>-1006.8243351040456</v>
      </c>
      <c r="BW18" s="387">
        <f ca="1">('Income Statement'!DD12)/1000</f>
        <v>-1054.1904222428709</v>
      </c>
      <c r="BX18" s="387">
        <f ca="1">('Income Statement'!DE12)/1000</f>
        <v>-1049.6194758745251</v>
      </c>
      <c r="BY18" s="387">
        <f ca="1">('Income Statement'!DF12)/1000</f>
        <v>-1028.6256347763781</v>
      </c>
      <c r="BZ18" s="387">
        <f ca="1">('Income Statement'!DG12)/1000</f>
        <v>-1048.2632829178106</v>
      </c>
      <c r="CA18" s="387">
        <f ca="1">('Income Statement'!DH12)/1000</f>
        <v>-1051.0562495661754</v>
      </c>
      <c r="CB18" s="387">
        <f ca="1">('Income Statement'!DI12)/1000</f>
        <v>-1065.5137987399548</v>
      </c>
      <c r="CC18" s="387">
        <f ca="1">('Income Statement'!DJ12)/1000</f>
        <v>-1071.9019660925323</v>
      </c>
      <c r="CD18" s="387">
        <f ca="1">('Income Statement'!DK12)/1000</f>
        <v>-1081.3471902626075</v>
      </c>
      <c r="CE18" s="387">
        <f ca="1">('Income Statement'!DL12)/1000</f>
        <v>-1082.1738413307548</v>
      </c>
      <c r="CF18" s="387">
        <f ca="1">('Income Statement'!DM12)/1000</f>
        <v>-1116.7839187965212</v>
      </c>
      <c r="CG18" s="387">
        <f ca="1">('Income Statement'!DN12)/1000</f>
        <v>-1144.651811761921</v>
      </c>
      <c r="CH18" s="387">
        <f ca="1">('Income Statement'!DO12)/1000</f>
        <v>-1164.6670142833859</v>
      </c>
      <c r="CI18" s="387">
        <f ca="1">('Income Statement'!DP12)/1000</f>
        <v>-1175.5560616448331</v>
      </c>
      <c r="CJ18" s="387">
        <f ca="1">('Income Statement'!DQ12)/1000</f>
        <v>-1194.2970331348577</v>
      </c>
      <c r="CK18" s="387">
        <f ca="1">('Income Statement'!DR12)/1000</f>
        <v>-1214.2143079620571</v>
      </c>
      <c r="CL18" s="387">
        <f ca="1">('Income Statement'!DS12)/1000</f>
        <v>-1235.7157499183656</v>
      </c>
      <c r="CM18" s="387">
        <f ca="1">('Income Statement'!DT12)/1000</f>
        <v>-1250.8651663955488</v>
      </c>
      <c r="CN18" s="387">
        <f ca="1">('Income Statement'!DU12)/1000</f>
        <v>-1283.1358838909259</v>
      </c>
      <c r="CO18" s="387">
        <f ca="1">('Income Statement'!DV12)/1000</f>
        <v>-1307.8715052093219</v>
      </c>
      <c r="CP18" s="387">
        <f ca="1">('Income Statement'!DW12)/1000</f>
        <v>-1333.378113747422</v>
      </c>
      <c r="CQ18" s="387">
        <f ca="1">('Income Statement'!DX12)/1000</f>
        <v>-1352.1208024555713</v>
      </c>
    </row>
    <row r="19" spans="1:95" s="325" customFormat="1" ht="3.75" customHeight="1">
      <c r="A19" s="376"/>
      <c r="P19" s="326"/>
      <c r="Q19" s="326"/>
      <c r="R19" s="326"/>
      <c r="S19" s="326"/>
      <c r="T19" s="326"/>
      <c r="U19" s="326"/>
      <c r="V19" s="323"/>
      <c r="W19" s="376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4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48"/>
      <c r="BU19" s="348"/>
      <c r="BV19" s="348"/>
      <c r="BW19" s="348"/>
      <c r="BX19" s="348"/>
      <c r="BY19" s="348"/>
      <c r="BZ19" s="348"/>
      <c r="CA19" s="348"/>
      <c r="CB19" s="348"/>
      <c r="CC19" s="348"/>
      <c r="CD19" s="348"/>
      <c r="CE19" s="348"/>
      <c r="CF19" s="348"/>
      <c r="CG19" s="348"/>
      <c r="CH19" s="348"/>
      <c r="CI19" s="348"/>
      <c r="CJ19" s="348"/>
      <c r="CK19" s="348"/>
      <c r="CL19" s="348"/>
      <c r="CM19" s="348"/>
      <c r="CN19" s="348"/>
      <c r="CO19" s="348"/>
      <c r="CP19" s="348"/>
      <c r="CQ19" s="348"/>
    </row>
    <row r="20" spans="1:95" s="325" customFormat="1" ht="11.25" customHeight="1">
      <c r="A20" s="403" t="s">
        <v>376</v>
      </c>
      <c r="B20" s="394">
        <f t="shared" ref="B20:S20" si="10">B17+B18</f>
        <v>0</v>
      </c>
      <c r="C20" s="394">
        <f t="shared" si="10"/>
        <v>0</v>
      </c>
      <c r="D20" s="394">
        <f t="shared" si="10"/>
        <v>0</v>
      </c>
      <c r="E20" s="394">
        <f t="shared" si="10"/>
        <v>0</v>
      </c>
      <c r="F20" s="394">
        <f t="shared" si="10"/>
        <v>0</v>
      </c>
      <c r="G20" s="394">
        <f t="shared" si="10"/>
        <v>0</v>
      </c>
      <c r="H20" s="394">
        <f t="shared" si="10"/>
        <v>0</v>
      </c>
      <c r="I20" s="394">
        <f t="shared" si="10"/>
        <v>2708.9553758222487</v>
      </c>
      <c r="J20" s="394">
        <f t="shared" si="10"/>
        <v>2987.3124960713994</v>
      </c>
      <c r="K20" s="394">
        <f t="shared" si="10"/>
        <v>3593.2086464596396</v>
      </c>
      <c r="L20" s="394">
        <f t="shared" si="10"/>
        <v>4242.5559182427614</v>
      </c>
      <c r="M20" s="394">
        <f t="shared" si="10"/>
        <v>4964.5505484314581</v>
      </c>
      <c r="N20" s="394">
        <f t="shared" si="10"/>
        <v>6409.8050000000003</v>
      </c>
      <c r="O20" s="394">
        <f t="shared" si="10"/>
        <v>7464.8959999999997</v>
      </c>
      <c r="P20" s="393">
        <f t="shared" ca="1" si="10"/>
        <v>8214.7221303205333</v>
      </c>
      <c r="Q20" s="393">
        <f t="shared" ca="1" si="10"/>
        <v>9046.2131558808687</v>
      </c>
      <c r="R20" s="393">
        <f t="shared" ca="1" si="10"/>
        <v>10044.276044042343</v>
      </c>
      <c r="S20" s="393">
        <f t="shared" ca="1" si="10"/>
        <v>11123.36367291896</v>
      </c>
      <c r="T20" s="393">
        <f t="shared" ref="T20:U20" ca="1" si="11">T17+T18</f>
        <v>12446.452521452178</v>
      </c>
      <c r="U20" s="393">
        <f t="shared" ca="1" si="11"/>
        <v>13965.020665759615</v>
      </c>
      <c r="V20" s="323"/>
      <c r="W20" s="403" t="s">
        <v>376</v>
      </c>
      <c r="X20" s="394">
        <f t="shared" ref="X20:BC20" si="12">X17+X18</f>
        <v>0</v>
      </c>
      <c r="Y20" s="394">
        <f t="shared" si="12"/>
        <v>0</v>
      </c>
      <c r="Z20" s="394">
        <f t="shared" si="12"/>
        <v>0</v>
      </c>
      <c r="AA20" s="394">
        <f t="shared" si="12"/>
        <v>0</v>
      </c>
      <c r="AB20" s="394">
        <f t="shared" si="12"/>
        <v>0</v>
      </c>
      <c r="AC20" s="394">
        <f t="shared" si="12"/>
        <v>0</v>
      </c>
      <c r="AD20" s="394">
        <f t="shared" si="12"/>
        <v>0</v>
      </c>
      <c r="AE20" s="394">
        <f t="shared" si="12"/>
        <v>0</v>
      </c>
      <c r="AF20" s="394">
        <f t="shared" si="12"/>
        <v>0</v>
      </c>
      <c r="AG20" s="394">
        <f t="shared" si="12"/>
        <v>0</v>
      </c>
      <c r="AH20" s="394">
        <f t="shared" si="12"/>
        <v>0</v>
      </c>
      <c r="AI20" s="394">
        <f t="shared" si="12"/>
        <v>0</v>
      </c>
      <c r="AJ20" s="394">
        <f t="shared" si="12"/>
        <v>0</v>
      </c>
      <c r="AK20" s="394">
        <f t="shared" si="12"/>
        <v>0</v>
      </c>
      <c r="AL20" s="394">
        <f t="shared" si="12"/>
        <v>0</v>
      </c>
      <c r="AM20" s="394">
        <f t="shared" si="12"/>
        <v>0</v>
      </c>
      <c r="AN20" s="394">
        <f t="shared" si="12"/>
        <v>0</v>
      </c>
      <c r="AO20" s="394">
        <f t="shared" si="12"/>
        <v>0</v>
      </c>
      <c r="AP20" s="394">
        <f t="shared" si="12"/>
        <v>0</v>
      </c>
      <c r="AQ20" s="394">
        <f t="shared" si="12"/>
        <v>0</v>
      </c>
      <c r="AR20" s="394">
        <f t="shared" si="12"/>
        <v>657.54178037682004</v>
      </c>
      <c r="AS20" s="394">
        <f t="shared" si="12"/>
        <v>700.52544269614964</v>
      </c>
      <c r="AT20" s="394">
        <f t="shared" si="12"/>
        <v>662.79213491885776</v>
      </c>
      <c r="AU20" s="394">
        <f t="shared" si="12"/>
        <v>688.09601783042126</v>
      </c>
      <c r="AV20" s="394">
        <f t="shared" si="12"/>
        <v>699.41589289638011</v>
      </c>
      <c r="AW20" s="394">
        <f t="shared" si="12"/>
        <v>733.79458866727987</v>
      </c>
      <c r="AX20" s="394">
        <f t="shared" si="12"/>
        <v>760.60336819217036</v>
      </c>
      <c r="AY20" s="394">
        <f t="shared" si="12"/>
        <v>793.49864631556943</v>
      </c>
      <c r="AZ20" s="394">
        <f t="shared" si="12"/>
        <v>863.48996676229012</v>
      </c>
      <c r="BA20" s="394">
        <f t="shared" si="12"/>
        <v>862.6069261333198</v>
      </c>
      <c r="BB20" s="394">
        <f t="shared" si="12"/>
        <v>907.47769256734932</v>
      </c>
      <c r="BC20" s="394">
        <f t="shared" si="12"/>
        <v>959.63406099668009</v>
      </c>
      <c r="BD20" s="394">
        <f t="shared" ref="BD20:CI20" si="13">BD17+BD18</f>
        <v>996.68565544576995</v>
      </c>
      <c r="BE20" s="394">
        <f t="shared" si="13"/>
        <v>1052.6981772085205</v>
      </c>
      <c r="BF20" s="394">
        <f t="shared" si="13"/>
        <v>1084.6466198602195</v>
      </c>
      <c r="BG20" s="395">
        <f t="shared" si="13"/>
        <v>1108.5254657282514</v>
      </c>
      <c r="BH20" s="394">
        <f t="shared" si="13"/>
        <v>1164.6147928116097</v>
      </c>
      <c r="BI20" s="394">
        <f t="shared" ref="BI20" si="14">BI17+BI18</f>
        <v>1198.9473500777399</v>
      </c>
      <c r="BJ20" s="394">
        <f t="shared" si="13"/>
        <v>1281.566526894811</v>
      </c>
      <c r="BK20" s="394">
        <f t="shared" si="13"/>
        <v>1319.4218786472986</v>
      </c>
      <c r="BL20" s="394">
        <f t="shared" ref="BL20" si="15">BL17+BL18</f>
        <v>1401.723</v>
      </c>
      <c r="BM20" s="394">
        <f t="shared" si="13"/>
        <v>1610.5</v>
      </c>
      <c r="BN20" s="394">
        <f t="shared" ref="BN20:BO20" si="16">BN17+BN18</f>
        <v>1686.1840000000002</v>
      </c>
      <c r="BO20" s="394">
        <f t="shared" si="16"/>
        <v>1711.3979999999997</v>
      </c>
      <c r="BP20" s="394">
        <f t="shared" si="13"/>
        <v>1785.3630000000001</v>
      </c>
      <c r="BQ20" s="394">
        <f t="shared" si="13"/>
        <v>1837.2000000000003</v>
      </c>
      <c r="BR20" s="394">
        <f t="shared" ref="BR20:BS20" si="17">BR17+BR18</f>
        <v>1866.893</v>
      </c>
      <c r="BS20" s="394">
        <f t="shared" si="17"/>
        <v>1975.44</v>
      </c>
      <c r="BT20" s="393">
        <f t="shared" ca="1" si="13"/>
        <v>1992.7189384091871</v>
      </c>
      <c r="BU20" s="393">
        <f t="shared" ca="1" si="13"/>
        <v>2014.5886780382161</v>
      </c>
      <c r="BV20" s="393">
        <f t="shared" ca="1" si="13"/>
        <v>2077.1737932723613</v>
      </c>
      <c r="BW20" s="393">
        <f t="shared" ca="1" si="13"/>
        <v>2130.2407206007701</v>
      </c>
      <c r="BX20" s="393">
        <f t="shared" ca="1" si="13"/>
        <v>2177.3150431470226</v>
      </c>
      <c r="BY20" s="393">
        <f t="shared" ca="1" si="13"/>
        <v>2234.6655779476796</v>
      </c>
      <c r="BZ20" s="393">
        <f t="shared" ca="1" si="13"/>
        <v>2283.5771335913391</v>
      </c>
      <c r="CA20" s="393">
        <f t="shared" ca="1" si="13"/>
        <v>2350.6554011948247</v>
      </c>
      <c r="CB20" s="393">
        <f t="shared" ca="1" si="13"/>
        <v>2382.3416275108361</v>
      </c>
      <c r="CC20" s="393">
        <f t="shared" ca="1" si="13"/>
        <v>2476.3699508085097</v>
      </c>
      <c r="CD20" s="393">
        <f t="shared" ca="1" si="13"/>
        <v>2543.1392016281447</v>
      </c>
      <c r="CE20" s="393">
        <f t="shared" ca="1" si="13"/>
        <v>2642.4252640948512</v>
      </c>
      <c r="CF20" s="393">
        <f t="shared" ca="1" si="13"/>
        <v>2679.7054593935418</v>
      </c>
      <c r="CG20" s="393">
        <f t="shared" ca="1" si="13"/>
        <v>2741.4092196851234</v>
      </c>
      <c r="CH20" s="393">
        <f t="shared" ca="1" si="13"/>
        <v>2806.0563960804379</v>
      </c>
      <c r="CI20" s="393">
        <f t="shared" ca="1" si="13"/>
        <v>2896.1925977598567</v>
      </c>
      <c r="CJ20" s="393">
        <f t="shared" ref="CJ20:CM20" ca="1" si="18">CJ17+CJ18</f>
        <v>2971.0882811379188</v>
      </c>
      <c r="CK20" s="393">
        <f t="shared" ca="1" si="18"/>
        <v>3066.2661769276692</v>
      </c>
      <c r="CL20" s="393">
        <f t="shared" ca="1" si="18"/>
        <v>3152.7098711292092</v>
      </c>
      <c r="CM20" s="393">
        <f t="shared" ca="1" si="18"/>
        <v>3256.388192257381</v>
      </c>
      <c r="CN20" s="393">
        <f t="shared" ref="CN20:CQ20" ca="1" si="19">CN17+CN18</f>
        <v>3331.9325598503942</v>
      </c>
      <c r="CO20" s="393">
        <f t="shared" ca="1" si="19"/>
        <v>3439.4058230102173</v>
      </c>
      <c r="CP20" s="393">
        <f t="shared" ca="1" si="19"/>
        <v>3538.3272004214818</v>
      </c>
      <c r="CQ20" s="393">
        <f t="shared" ca="1" si="19"/>
        <v>3655.3550824775252</v>
      </c>
    </row>
    <row r="21" spans="1:95" s="325" customFormat="1" ht="3.75" customHeight="1">
      <c r="A21" s="407"/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377"/>
      <c r="N21" s="377"/>
      <c r="O21" s="377"/>
      <c r="P21" s="405"/>
      <c r="Q21" s="405"/>
      <c r="R21" s="405"/>
      <c r="S21" s="405"/>
      <c r="T21" s="405"/>
      <c r="U21" s="405"/>
      <c r="V21" s="323"/>
      <c r="W21" s="407"/>
      <c r="X21" s="383"/>
      <c r="Y21" s="383"/>
      <c r="Z21" s="383"/>
      <c r="AA21" s="383"/>
      <c r="AB21" s="383"/>
      <c r="AC21" s="383"/>
      <c r="AD21" s="383"/>
      <c r="AE21" s="383"/>
      <c r="AF21" s="383"/>
      <c r="AG21" s="383"/>
      <c r="AH21" s="383"/>
      <c r="AI21" s="383"/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383"/>
      <c r="AX21" s="383"/>
      <c r="AY21" s="383"/>
      <c r="AZ21" s="383"/>
      <c r="BA21" s="383"/>
      <c r="BB21" s="383"/>
      <c r="BC21" s="383"/>
      <c r="BD21" s="383"/>
      <c r="BE21" s="383"/>
      <c r="BF21" s="383"/>
      <c r="BG21" s="410"/>
      <c r="BH21" s="383"/>
      <c r="BI21" s="383"/>
      <c r="BJ21" s="383"/>
      <c r="BK21" s="383"/>
      <c r="BL21" s="383"/>
      <c r="BM21" s="383"/>
      <c r="BN21" s="383"/>
      <c r="BO21" s="383"/>
      <c r="BP21" s="383"/>
      <c r="BQ21" s="383"/>
      <c r="BR21" s="383"/>
      <c r="BS21" s="383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09"/>
      <c r="CI21" s="409"/>
      <c r="CJ21" s="409"/>
      <c r="CK21" s="409"/>
      <c r="CL21" s="409"/>
      <c r="CM21" s="409"/>
      <c r="CN21" s="409"/>
      <c r="CO21" s="409"/>
      <c r="CP21" s="409"/>
      <c r="CQ21" s="409"/>
    </row>
    <row r="22" spans="1:95" s="325" customFormat="1" ht="11.25" customHeight="1">
      <c r="A22" s="407" t="s">
        <v>375</v>
      </c>
      <c r="B22" s="402">
        <f>('Income Statement'!G14)/1000</f>
        <v>0</v>
      </c>
      <c r="C22" s="402">
        <f>('Income Statement'!H14)/1000</f>
        <v>0</v>
      </c>
      <c r="D22" s="402">
        <f>('Income Statement'!I14)/1000</f>
        <v>0</v>
      </c>
      <c r="E22" s="402">
        <f>('Income Statement'!J14)/1000</f>
        <v>0</v>
      </c>
      <c r="F22" s="402">
        <f>('Income Statement'!K14)/1000</f>
        <v>0</v>
      </c>
      <c r="G22" s="402">
        <f>('Income Statement'!L14)/1000</f>
        <v>0</v>
      </c>
      <c r="H22" s="402">
        <f>('Income Statement'!M14)/1000</f>
        <v>0</v>
      </c>
      <c r="I22" s="402">
        <f>('Income Statement'!N14)/1000</f>
        <v>-488.44358787012993</v>
      </c>
      <c r="J22" s="402">
        <f>('Income Statement'!O14)/1000</f>
        <v>-493.26554853222984</v>
      </c>
      <c r="K22" s="402">
        <f>('Income Statement'!P14)/1000</f>
        <v>-590.41379445976008</v>
      </c>
      <c r="L22" s="402">
        <f>('Income Statement'!Q14)/1000</f>
        <v>-993.99440157620006</v>
      </c>
      <c r="M22" s="402">
        <f>('Income Statement'!R14)/1000</f>
        <v>-1238.27876875887</v>
      </c>
      <c r="N22" s="402">
        <f>('Income Statement'!S14)/1000</f>
        <v>-1715.808</v>
      </c>
      <c r="O22" s="402">
        <f>('Income Statement'!T14)/1000</f>
        <v>-1880.8979999999999</v>
      </c>
      <c r="P22" s="401">
        <f>('Income Statement'!U14)/1000</f>
        <v>-2127.8047632935773</v>
      </c>
      <c r="Q22" s="401">
        <f>('Income Statement'!V14)/1000</f>
        <v>-2345.2989204780824</v>
      </c>
      <c r="R22" s="401">
        <f>('Income Statement'!W14)/1000</f>
        <v>-2607.7703763920222</v>
      </c>
      <c r="S22" s="401">
        <f>('Income Statement'!X14)/1000</f>
        <v>-2869.2978828940372</v>
      </c>
      <c r="T22" s="401">
        <f>('Income Statement'!Y14)/1000</f>
        <v>-3191.9978947992904</v>
      </c>
      <c r="U22" s="401">
        <f>('Income Statement'!Z14)/1000</f>
        <v>-3556.8511150407362</v>
      </c>
      <c r="V22" s="323"/>
      <c r="W22" s="407" t="s">
        <v>375</v>
      </c>
      <c r="X22" s="398">
        <f>('Income Statement'!BE14)/1000</f>
        <v>0</v>
      </c>
      <c r="Y22" s="398">
        <f>('Income Statement'!BF14)/1000</f>
        <v>0</v>
      </c>
      <c r="Z22" s="398">
        <f>('Income Statement'!BG14)/1000</f>
        <v>0</v>
      </c>
      <c r="AA22" s="398">
        <f>('Income Statement'!BH14)/1000</f>
        <v>0</v>
      </c>
      <c r="AB22" s="398">
        <f>('Income Statement'!BI14)/1000</f>
        <v>0</v>
      </c>
      <c r="AC22" s="398">
        <f>('Income Statement'!BJ14)/1000</f>
        <v>0</v>
      </c>
      <c r="AD22" s="398">
        <f>('Income Statement'!BK14)/1000</f>
        <v>0</v>
      </c>
      <c r="AE22" s="398">
        <f>('Income Statement'!BL14)/1000</f>
        <v>0</v>
      </c>
      <c r="AF22" s="398">
        <f>('Income Statement'!BM14)/1000</f>
        <v>0</v>
      </c>
      <c r="AG22" s="398">
        <f>('Income Statement'!BN14)/1000</f>
        <v>0</v>
      </c>
      <c r="AH22" s="398">
        <f>('Income Statement'!BO14)/1000</f>
        <v>0</v>
      </c>
      <c r="AI22" s="398">
        <f>('Income Statement'!BP14)/1000</f>
        <v>0</v>
      </c>
      <c r="AJ22" s="398">
        <f>('Income Statement'!BQ14)/1000</f>
        <v>0</v>
      </c>
      <c r="AK22" s="398">
        <f>('Income Statement'!BR14)/1000</f>
        <v>0</v>
      </c>
      <c r="AL22" s="398">
        <f>('Income Statement'!BS14)/1000</f>
        <v>0</v>
      </c>
      <c r="AM22" s="398">
        <f>('Income Statement'!BT14)/1000</f>
        <v>0</v>
      </c>
      <c r="AN22" s="398">
        <f>('Income Statement'!BU14)/1000</f>
        <v>0</v>
      </c>
      <c r="AO22" s="398">
        <f>('Income Statement'!BV14)/1000</f>
        <v>0</v>
      </c>
      <c r="AP22" s="398">
        <f>('Income Statement'!BW14)/1000</f>
        <v>0</v>
      </c>
      <c r="AQ22" s="398">
        <f>('Income Statement'!BX14)/1000</f>
        <v>0</v>
      </c>
      <c r="AR22" s="398">
        <f>('Income Statement'!BY14)/1000</f>
        <v>-84.560744513109981</v>
      </c>
      <c r="AS22" s="398">
        <f>('Income Statement'!BZ14)/1000</f>
        <v>-164.03491117445998</v>
      </c>
      <c r="AT22" s="398">
        <f>('Income Statement'!CA14)/1000</f>
        <v>-112.50565518864002</v>
      </c>
      <c r="AU22" s="398">
        <f>('Income Statement'!CB14)/1000</f>
        <v>-127.34227699391992</v>
      </c>
      <c r="AV22" s="398">
        <f>('Income Statement'!CC14)/1000</f>
        <v>-122.93577810531002</v>
      </c>
      <c r="AW22" s="398">
        <f>('Income Statement'!CD14)/1000</f>
        <v>-87.72055911530002</v>
      </c>
      <c r="AX22" s="398">
        <f>('Income Statement'!CE14)/1000</f>
        <v>-146.66144780797009</v>
      </c>
      <c r="AY22" s="398">
        <f>('Income Statement'!CF14)/1000</f>
        <v>-135.94776350364972</v>
      </c>
      <c r="AZ22" s="398">
        <f>('Income Statement'!CG14)/1000</f>
        <v>-115.63190411984999</v>
      </c>
      <c r="BA22" s="398">
        <f>('Income Statement'!CH14)/1000</f>
        <v>-167.31916343073001</v>
      </c>
      <c r="BB22" s="398">
        <f>('Income Statement'!CI14)/1000</f>
        <v>-117.22598226632992</v>
      </c>
      <c r="BC22" s="398">
        <f>('Income Statement'!CJ14)/1000</f>
        <v>-190.23674464285014</v>
      </c>
      <c r="BD22" s="398">
        <f>('Income Statement'!CK14)/1000</f>
        <v>-186.34208534063001</v>
      </c>
      <c r="BE22" s="398">
        <f>('Income Statement'!CL14)/1000</f>
        <v>-296.03366412692003</v>
      </c>
      <c r="BF22" s="398">
        <f>('Income Statement'!CM14)/1000</f>
        <v>-246.45967143465998</v>
      </c>
      <c r="BG22" s="399">
        <f>('Income Statement'!CN14)/1000</f>
        <v>-265.15898067398996</v>
      </c>
      <c r="BH22" s="398">
        <f>('Income Statement'!CO14)/1000</f>
        <v>-244.98513385764997</v>
      </c>
      <c r="BI22" s="398">
        <f>('Income Statement'!CP14)/1000</f>
        <v>-313.03271908677999</v>
      </c>
      <c r="BJ22" s="398">
        <f>('Income Statement'!CQ14)/1000</f>
        <v>-331.27961296272019</v>
      </c>
      <c r="BK22" s="398">
        <f>('Income Statement'!CR14)/1000</f>
        <v>-348.98130285171976</v>
      </c>
      <c r="BL22" s="398">
        <f>('Income Statement'!CS14)/1000</f>
        <v>-364.6</v>
      </c>
      <c r="BM22" s="398">
        <f>('Income Statement'!CT14)/1000</f>
        <v>-480.73099999999999</v>
      </c>
      <c r="BN22" s="398">
        <f>('Income Statement'!CU14)/1000</f>
        <v>-433.21899999999999</v>
      </c>
      <c r="BO22" s="398">
        <f>('Income Statement'!CV14)/1000</f>
        <v>-437.25799999999998</v>
      </c>
      <c r="BP22" s="398">
        <f>('Income Statement'!CW14)/1000</f>
        <v>-502.13600000000002</v>
      </c>
      <c r="BQ22" s="398">
        <f>('Income Statement'!CX14)/1000</f>
        <v>-431.76299999999998</v>
      </c>
      <c r="BR22" s="398">
        <f>('Income Statement'!CY14)/1000</f>
        <v>-444.42500000000001</v>
      </c>
      <c r="BS22" s="398">
        <f>('Income Statement'!CZ14)/1000</f>
        <v>-502.57400000000001</v>
      </c>
      <c r="BT22" s="397">
        <f>('Income Statement'!DA14)/1000</f>
        <v>-510.94997870269503</v>
      </c>
      <c r="BU22" s="397">
        <f>('Income Statement'!DB14)/1000</f>
        <v>-532.47225932185188</v>
      </c>
      <c r="BV22" s="397">
        <f>('Income Statement'!DC14)/1000</f>
        <v>-535.77717342262952</v>
      </c>
      <c r="BW22" s="397">
        <f>('Income Statement'!DD14)/1000</f>
        <v>-548.60535184640059</v>
      </c>
      <c r="BX22" s="397">
        <f>('Income Statement'!DE14)/1000</f>
        <v>-554.48261499166188</v>
      </c>
      <c r="BY22" s="397">
        <f>('Income Statement'!DF14)/1000</f>
        <v>-572.16863707994059</v>
      </c>
      <c r="BZ22" s="397">
        <f>('Income Statement'!DG14)/1000</f>
        <v>-593.35204203578974</v>
      </c>
      <c r="CA22" s="397">
        <f>('Income Statement'!DH14)/1000</f>
        <v>-625.29562637068989</v>
      </c>
      <c r="CB22" s="397">
        <f>('Income Statement'!DI14)/1000</f>
        <v>-634.84865952753012</v>
      </c>
      <c r="CC22" s="397">
        <f>('Income Statement'!DJ14)/1000</f>
        <v>-649.53601421643305</v>
      </c>
      <c r="CD22" s="397">
        <f>('Income Statement'!DK14)/1000</f>
        <v>-655.29871953443308</v>
      </c>
      <c r="CE22" s="397">
        <f>('Income Statement'!DL14)/1000</f>
        <v>-668.08698311362616</v>
      </c>
      <c r="CF22" s="397">
        <f>('Income Statement'!DM14)/1000</f>
        <v>-679.73942145097942</v>
      </c>
      <c r="CG22" s="397">
        <f>('Income Statement'!DN14)/1000</f>
        <v>-706.21039837791261</v>
      </c>
      <c r="CH22" s="397">
        <f>('Income Statement'!DO14)/1000</f>
        <v>-727.44866479108668</v>
      </c>
      <c r="CI22" s="397">
        <f>('Income Statement'!DP14)/1000</f>
        <v>-755.89939827405851</v>
      </c>
      <c r="CJ22" s="397">
        <f>('Income Statement'!DQ14)/1000</f>
        <v>-764.37569018175498</v>
      </c>
      <c r="CK22" s="397">
        <f>('Income Statement'!DR14)/1000</f>
        <v>-785.42304261311494</v>
      </c>
      <c r="CL22" s="397">
        <f>('Income Statement'!DS14)/1000</f>
        <v>-804.77080496325561</v>
      </c>
      <c r="CM22" s="397">
        <f>('Income Statement'!DT14)/1000</f>
        <v>-837.42835704116487</v>
      </c>
      <c r="CN22" s="397">
        <f>('Income Statement'!DU14)/1000</f>
        <v>-841.57322193123582</v>
      </c>
      <c r="CO22" s="397">
        <f>('Income Statement'!DV14)/1000</f>
        <v>-870.16858605870709</v>
      </c>
      <c r="CP22" s="397">
        <f>('Income Statement'!DW14)/1000</f>
        <v>-906.26353643260904</v>
      </c>
      <c r="CQ22" s="397">
        <f>('Income Statement'!DX14)/1000</f>
        <v>-938.84577061818436</v>
      </c>
    </row>
    <row r="23" spans="1:95" s="325" customFormat="1" ht="3.75" customHeight="1">
      <c r="A23" s="407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405"/>
      <c r="Q23" s="405"/>
      <c r="R23" s="405"/>
      <c r="S23" s="405"/>
      <c r="T23" s="405"/>
      <c r="U23" s="405"/>
      <c r="V23" s="323"/>
      <c r="W23" s="407"/>
      <c r="X23" s="383"/>
      <c r="Y23" s="383"/>
      <c r="Z23" s="383"/>
      <c r="AA23" s="383"/>
      <c r="AB23" s="383"/>
      <c r="AC23" s="383"/>
      <c r="AD23" s="383"/>
      <c r="AE23" s="383"/>
      <c r="AF23" s="383"/>
      <c r="AG23" s="383"/>
      <c r="AH23" s="383"/>
      <c r="AI23" s="383"/>
      <c r="AJ23" s="383"/>
      <c r="AK23" s="383"/>
      <c r="AL23" s="383"/>
      <c r="AM23" s="383"/>
      <c r="AN23" s="383"/>
      <c r="AO23" s="383"/>
      <c r="AP23" s="383"/>
      <c r="AQ23" s="383"/>
      <c r="AR23" s="383"/>
      <c r="AS23" s="383"/>
      <c r="AT23" s="383"/>
      <c r="AU23" s="383"/>
      <c r="AV23" s="383"/>
      <c r="AW23" s="383"/>
      <c r="AX23" s="383"/>
      <c r="AY23" s="383"/>
      <c r="AZ23" s="383"/>
      <c r="BA23" s="383"/>
      <c r="BB23" s="383"/>
      <c r="BC23" s="383"/>
      <c r="BD23" s="383"/>
      <c r="BE23" s="383"/>
      <c r="BF23" s="383"/>
      <c r="BG23" s="410"/>
      <c r="BH23" s="383"/>
      <c r="BI23" s="383"/>
      <c r="BJ23" s="383"/>
      <c r="BK23" s="383"/>
      <c r="BL23" s="383"/>
      <c r="BM23" s="383"/>
      <c r="BN23" s="383"/>
      <c r="BO23" s="383"/>
      <c r="BP23" s="383"/>
      <c r="BQ23" s="383"/>
      <c r="BR23" s="383"/>
      <c r="BS23" s="383"/>
      <c r="BT23" s="409"/>
      <c r="BU23" s="409"/>
      <c r="BV23" s="409"/>
      <c r="BW23" s="409"/>
      <c r="BX23" s="409"/>
      <c r="BY23" s="409"/>
      <c r="BZ23" s="409"/>
      <c r="CA23" s="409"/>
      <c r="CB23" s="409"/>
      <c r="CC23" s="409"/>
      <c r="CD23" s="409"/>
      <c r="CE23" s="409"/>
      <c r="CF23" s="409"/>
      <c r="CG23" s="409"/>
      <c r="CH23" s="409"/>
      <c r="CI23" s="409"/>
      <c r="CJ23" s="409"/>
      <c r="CK23" s="409"/>
      <c r="CL23" s="409"/>
      <c r="CM23" s="409"/>
      <c r="CN23" s="409"/>
      <c r="CO23" s="409"/>
      <c r="CP23" s="409"/>
      <c r="CQ23" s="409"/>
    </row>
    <row r="24" spans="1:95" s="325" customFormat="1" ht="11.25" customHeight="1">
      <c r="A24" s="403" t="s">
        <v>374</v>
      </c>
      <c r="B24" s="394">
        <f t="shared" ref="B24:S24" si="20">B20+B22</f>
        <v>0</v>
      </c>
      <c r="C24" s="394">
        <f t="shared" si="20"/>
        <v>0</v>
      </c>
      <c r="D24" s="394">
        <f t="shared" si="20"/>
        <v>0</v>
      </c>
      <c r="E24" s="394">
        <f t="shared" si="20"/>
        <v>0</v>
      </c>
      <c r="F24" s="394">
        <f t="shared" si="20"/>
        <v>0</v>
      </c>
      <c r="G24" s="394">
        <f t="shared" si="20"/>
        <v>0</v>
      </c>
      <c r="H24" s="394">
        <f t="shared" si="20"/>
        <v>0</v>
      </c>
      <c r="I24" s="394">
        <f t="shared" si="20"/>
        <v>2220.5117879521185</v>
      </c>
      <c r="J24" s="394">
        <f t="shared" si="20"/>
        <v>2494.0469475391697</v>
      </c>
      <c r="K24" s="394">
        <f t="shared" si="20"/>
        <v>3002.7948519998795</v>
      </c>
      <c r="L24" s="394">
        <f t="shared" si="20"/>
        <v>3248.5615166665611</v>
      </c>
      <c r="M24" s="394">
        <f t="shared" si="20"/>
        <v>3726.2717796725883</v>
      </c>
      <c r="N24" s="394">
        <f t="shared" si="20"/>
        <v>4693.9970000000003</v>
      </c>
      <c r="O24" s="394">
        <f t="shared" si="20"/>
        <v>5583.9979999999996</v>
      </c>
      <c r="P24" s="393">
        <f t="shared" ca="1" si="20"/>
        <v>6086.9173670269556</v>
      </c>
      <c r="Q24" s="393">
        <f t="shared" ca="1" si="20"/>
        <v>6700.9142354027863</v>
      </c>
      <c r="R24" s="393">
        <f t="shared" ca="1" si="20"/>
        <v>7436.5056676503209</v>
      </c>
      <c r="S24" s="393">
        <f t="shared" ca="1" si="20"/>
        <v>8254.0657900249225</v>
      </c>
      <c r="T24" s="393">
        <f t="shared" ref="T24:U24" ca="1" si="21">T20+T22</f>
        <v>9254.4546266528887</v>
      </c>
      <c r="U24" s="393">
        <f t="shared" ca="1" si="21"/>
        <v>10408.16955071888</v>
      </c>
      <c r="V24" s="323"/>
      <c r="W24" s="403" t="s">
        <v>374</v>
      </c>
      <c r="X24" s="394">
        <f t="shared" ref="X24:BC24" si="22">X20+X22</f>
        <v>0</v>
      </c>
      <c r="Y24" s="394">
        <f t="shared" si="22"/>
        <v>0</v>
      </c>
      <c r="Z24" s="394">
        <f t="shared" si="22"/>
        <v>0</v>
      </c>
      <c r="AA24" s="394">
        <f t="shared" si="22"/>
        <v>0</v>
      </c>
      <c r="AB24" s="394">
        <f t="shared" si="22"/>
        <v>0</v>
      </c>
      <c r="AC24" s="394">
        <f t="shared" si="22"/>
        <v>0</v>
      </c>
      <c r="AD24" s="394">
        <f t="shared" si="22"/>
        <v>0</v>
      </c>
      <c r="AE24" s="394">
        <f t="shared" si="22"/>
        <v>0</v>
      </c>
      <c r="AF24" s="394">
        <f t="shared" si="22"/>
        <v>0</v>
      </c>
      <c r="AG24" s="394">
        <f t="shared" si="22"/>
        <v>0</v>
      </c>
      <c r="AH24" s="394">
        <f t="shared" si="22"/>
        <v>0</v>
      </c>
      <c r="AI24" s="394">
        <f t="shared" si="22"/>
        <v>0</v>
      </c>
      <c r="AJ24" s="394">
        <f t="shared" si="22"/>
        <v>0</v>
      </c>
      <c r="AK24" s="394">
        <f t="shared" si="22"/>
        <v>0</v>
      </c>
      <c r="AL24" s="394">
        <f t="shared" si="22"/>
        <v>0</v>
      </c>
      <c r="AM24" s="394">
        <f t="shared" si="22"/>
        <v>0</v>
      </c>
      <c r="AN24" s="394">
        <f t="shared" si="22"/>
        <v>0</v>
      </c>
      <c r="AO24" s="394">
        <f t="shared" si="22"/>
        <v>0</v>
      </c>
      <c r="AP24" s="394">
        <f t="shared" si="22"/>
        <v>0</v>
      </c>
      <c r="AQ24" s="394">
        <f t="shared" si="22"/>
        <v>0</v>
      </c>
      <c r="AR24" s="394">
        <f t="shared" si="22"/>
        <v>572.98103586371008</v>
      </c>
      <c r="AS24" s="394">
        <f t="shared" si="22"/>
        <v>536.49053152168972</v>
      </c>
      <c r="AT24" s="394">
        <f t="shared" si="22"/>
        <v>550.28647973021771</v>
      </c>
      <c r="AU24" s="394">
        <f t="shared" si="22"/>
        <v>560.75374083650138</v>
      </c>
      <c r="AV24" s="394">
        <f t="shared" si="22"/>
        <v>576.48011479107004</v>
      </c>
      <c r="AW24" s="394">
        <f t="shared" si="22"/>
        <v>646.07402955197983</v>
      </c>
      <c r="AX24" s="394">
        <f t="shared" si="22"/>
        <v>613.94192038420033</v>
      </c>
      <c r="AY24" s="394">
        <f t="shared" si="22"/>
        <v>657.55088281191968</v>
      </c>
      <c r="AZ24" s="394">
        <f t="shared" si="22"/>
        <v>747.85806264244013</v>
      </c>
      <c r="BA24" s="394">
        <f t="shared" si="22"/>
        <v>695.28776270258982</v>
      </c>
      <c r="BB24" s="394">
        <f t="shared" si="22"/>
        <v>790.25171030101944</v>
      </c>
      <c r="BC24" s="394">
        <f t="shared" si="22"/>
        <v>769.39731635382998</v>
      </c>
      <c r="BD24" s="394">
        <f t="shared" ref="BD24:CI24" si="23">BD20+BD22</f>
        <v>810.34357010513997</v>
      </c>
      <c r="BE24" s="394">
        <f t="shared" si="23"/>
        <v>756.66451308160049</v>
      </c>
      <c r="BF24" s="394">
        <f t="shared" si="23"/>
        <v>838.18694842555954</v>
      </c>
      <c r="BG24" s="395">
        <f t="shared" si="23"/>
        <v>843.36648505426149</v>
      </c>
      <c r="BH24" s="394">
        <f t="shared" si="23"/>
        <v>919.62965895395973</v>
      </c>
      <c r="BI24" s="394">
        <f t="shared" ref="BI24" si="24">BI20+BI22</f>
        <v>885.91463099095995</v>
      </c>
      <c r="BJ24" s="394">
        <f t="shared" si="23"/>
        <v>950.28691393209078</v>
      </c>
      <c r="BK24" s="394">
        <f t="shared" si="23"/>
        <v>970.44057579557887</v>
      </c>
      <c r="BL24" s="394">
        <f t="shared" ref="BL24" si="25">BL20+BL22</f>
        <v>1037.123</v>
      </c>
      <c r="BM24" s="394">
        <f t="shared" si="23"/>
        <v>1129.769</v>
      </c>
      <c r="BN24" s="394">
        <f t="shared" ref="BN24:BO24" si="26">BN20+BN22</f>
        <v>1252.9650000000001</v>
      </c>
      <c r="BO24" s="394">
        <f t="shared" si="26"/>
        <v>1274.1399999999996</v>
      </c>
      <c r="BP24" s="394">
        <f t="shared" si="23"/>
        <v>1283.2270000000001</v>
      </c>
      <c r="BQ24" s="394">
        <f t="shared" si="23"/>
        <v>1405.4370000000004</v>
      </c>
      <c r="BR24" s="394">
        <f t="shared" ref="BR24:BS24" si="27">BR20+BR22</f>
        <v>1422.4680000000001</v>
      </c>
      <c r="BS24" s="394">
        <f t="shared" si="27"/>
        <v>1472.866</v>
      </c>
      <c r="BT24" s="393">
        <f t="shared" ca="1" si="23"/>
        <v>1481.7689597064921</v>
      </c>
      <c r="BU24" s="393">
        <f t="shared" ca="1" si="23"/>
        <v>1482.1164187163643</v>
      </c>
      <c r="BV24" s="393">
        <f t="shared" ca="1" si="23"/>
        <v>1541.3966198497319</v>
      </c>
      <c r="BW24" s="393">
        <f t="shared" ca="1" si="23"/>
        <v>1581.6353687543697</v>
      </c>
      <c r="BX24" s="393">
        <f t="shared" ca="1" si="23"/>
        <v>1622.8324281553607</v>
      </c>
      <c r="BY24" s="393">
        <f t="shared" ca="1" si="23"/>
        <v>1662.4969408677389</v>
      </c>
      <c r="BZ24" s="393">
        <f t="shared" ca="1" si="23"/>
        <v>1690.2250915555494</v>
      </c>
      <c r="CA24" s="393">
        <f t="shared" ca="1" si="23"/>
        <v>1725.3597748241348</v>
      </c>
      <c r="CB24" s="393">
        <f t="shared" ca="1" si="23"/>
        <v>1747.492967983306</v>
      </c>
      <c r="CC24" s="393">
        <f t="shared" ca="1" si="23"/>
        <v>1826.8339365920765</v>
      </c>
      <c r="CD24" s="393">
        <f t="shared" ca="1" si="23"/>
        <v>1887.8404820937117</v>
      </c>
      <c r="CE24" s="393">
        <f t="shared" ca="1" si="23"/>
        <v>1974.3382809812251</v>
      </c>
      <c r="CF24" s="393">
        <f t="shared" ca="1" si="23"/>
        <v>1999.9660379425623</v>
      </c>
      <c r="CG24" s="393">
        <f t="shared" ca="1" si="23"/>
        <v>2035.1988213072109</v>
      </c>
      <c r="CH24" s="393">
        <f t="shared" ca="1" si="23"/>
        <v>2078.6077312893512</v>
      </c>
      <c r="CI24" s="393">
        <f t="shared" ca="1" si="23"/>
        <v>2140.2931994857981</v>
      </c>
      <c r="CJ24" s="393">
        <f t="shared" ref="CJ24:CM24" ca="1" si="28">CJ20+CJ22</f>
        <v>2206.7125909561637</v>
      </c>
      <c r="CK24" s="393">
        <f t="shared" ca="1" si="28"/>
        <v>2280.8431343145544</v>
      </c>
      <c r="CL24" s="393">
        <f t="shared" ca="1" si="28"/>
        <v>2347.9390661659536</v>
      </c>
      <c r="CM24" s="393">
        <f t="shared" ca="1" si="28"/>
        <v>2418.9598352162161</v>
      </c>
      <c r="CN24" s="393">
        <f t="shared" ref="CN24:CQ24" ca="1" si="29">CN20+CN22</f>
        <v>2490.3593379191584</v>
      </c>
      <c r="CO24" s="393">
        <f t="shared" ca="1" si="29"/>
        <v>2569.2372369515101</v>
      </c>
      <c r="CP24" s="393">
        <f t="shared" ca="1" si="29"/>
        <v>2632.0636639888726</v>
      </c>
      <c r="CQ24" s="393">
        <f t="shared" ca="1" si="29"/>
        <v>2716.5093118593409</v>
      </c>
    </row>
    <row r="25" spans="1:95" s="325" customFormat="1" ht="3.75" customHeight="1">
      <c r="A25" s="407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405"/>
      <c r="Q25" s="405"/>
      <c r="R25" s="405"/>
      <c r="S25" s="405"/>
      <c r="T25" s="405"/>
      <c r="U25" s="405"/>
      <c r="V25" s="323"/>
      <c r="W25" s="407"/>
      <c r="X25" s="383"/>
      <c r="Y25" s="383"/>
      <c r="Z25" s="383"/>
      <c r="AA25" s="383"/>
      <c r="AB25" s="383"/>
      <c r="AC25" s="383"/>
      <c r="AD25" s="383"/>
      <c r="AE25" s="383"/>
      <c r="AF25" s="383"/>
      <c r="AG25" s="383"/>
      <c r="AH25" s="383"/>
      <c r="AI25" s="383"/>
      <c r="AJ25" s="383"/>
      <c r="AK25" s="383"/>
      <c r="AL25" s="383"/>
      <c r="AM25" s="383"/>
      <c r="AN25" s="383"/>
      <c r="AO25" s="383"/>
      <c r="AP25" s="383"/>
      <c r="AQ25" s="383"/>
      <c r="AR25" s="383"/>
      <c r="AS25" s="383"/>
      <c r="AT25" s="383"/>
      <c r="AU25" s="383"/>
      <c r="AV25" s="383"/>
      <c r="AW25" s="383"/>
      <c r="AX25" s="383"/>
      <c r="AY25" s="383"/>
      <c r="AZ25" s="383"/>
      <c r="BA25" s="383"/>
      <c r="BB25" s="383"/>
      <c r="BC25" s="383"/>
      <c r="BD25" s="383"/>
      <c r="BE25" s="383"/>
      <c r="BF25" s="383"/>
      <c r="BG25" s="410"/>
      <c r="BH25" s="383"/>
      <c r="BI25" s="383"/>
      <c r="BJ25" s="383"/>
      <c r="BK25" s="383"/>
      <c r="BL25" s="383"/>
      <c r="BM25" s="383"/>
      <c r="BN25" s="383"/>
      <c r="BO25" s="383"/>
      <c r="BP25" s="383"/>
      <c r="BQ25" s="383"/>
      <c r="BR25" s="383"/>
      <c r="BS25" s="383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</row>
    <row r="26" spans="1:95" s="325" customFormat="1" ht="11.25" customHeight="1">
      <c r="A26" s="407" t="s">
        <v>328</v>
      </c>
      <c r="B26" s="402">
        <f>('Income Statement'!G17)/1000</f>
        <v>0</v>
      </c>
      <c r="C26" s="402">
        <f>('Income Statement'!H17)/1000</f>
        <v>0</v>
      </c>
      <c r="D26" s="402">
        <f>('Income Statement'!I17)/1000</f>
        <v>0</v>
      </c>
      <c r="E26" s="402">
        <f>('Income Statement'!J17)/1000</f>
        <v>0</v>
      </c>
      <c r="F26" s="402">
        <f>('Income Statement'!K17)/1000</f>
        <v>0</v>
      </c>
      <c r="G26" s="402">
        <f>('Income Statement'!L17)/1000</f>
        <v>0</v>
      </c>
      <c r="H26" s="402">
        <f>('Income Statement'!M17)/1000</f>
        <v>0</v>
      </c>
      <c r="I26" s="402">
        <f>('Income Statement'!N17)/1000</f>
        <v>1308.9499462726101</v>
      </c>
      <c r="J26" s="402">
        <f>('Income Statement'!O17)/1000</f>
        <v>1482.7758809022503</v>
      </c>
      <c r="K26" s="402">
        <f>('Income Statement'!P17)/1000</f>
        <v>1638.7457335810402</v>
      </c>
      <c r="L26" s="402">
        <f>('Income Statement'!Q17)/1000</f>
        <v>1939.5526579777795</v>
      </c>
      <c r="M26" s="402">
        <f>('Income Statement'!R17)/1000</f>
        <v>2268.6340874164061</v>
      </c>
      <c r="N26" s="402">
        <f>('Income Statement'!S17)/1000</f>
        <v>2521.83</v>
      </c>
      <c r="O26" s="402">
        <f>('Income Statement'!T17)/1000</f>
        <v>2644.192</v>
      </c>
      <c r="P26" s="401">
        <f>('Income Statement'!U17)/1000</f>
        <v>2867.7411501314405</v>
      </c>
      <c r="Q26" s="401">
        <f>('Income Statement'!V17)/1000</f>
        <v>3192.6804835314629</v>
      </c>
      <c r="R26" s="401">
        <f>('Income Statement'!W17)/1000</f>
        <v>3670.1312824721317</v>
      </c>
      <c r="S26" s="401">
        <f>('Income Statement'!X17)/1000</f>
        <v>4130.7650922789835</v>
      </c>
      <c r="T26" s="401">
        <f>('Income Statement'!Y17)/1000</f>
        <v>4649.2125034004594</v>
      </c>
      <c r="U26" s="401">
        <f>('Income Statement'!Z17)/1000</f>
        <v>5232.7296321393724</v>
      </c>
      <c r="V26" s="323"/>
      <c r="W26" s="407" t="s">
        <v>328</v>
      </c>
      <c r="X26" s="398">
        <f>('Income Statement'!BE17)/1000</f>
        <v>0</v>
      </c>
      <c r="Y26" s="398">
        <f>('Income Statement'!BF17)/1000</f>
        <v>0</v>
      </c>
      <c r="Z26" s="398">
        <f>('Income Statement'!BG17)/1000</f>
        <v>0</v>
      </c>
      <c r="AA26" s="398">
        <f>('Income Statement'!BH17)/1000</f>
        <v>0</v>
      </c>
      <c r="AB26" s="398">
        <f>('Income Statement'!BI17)/1000</f>
        <v>0</v>
      </c>
      <c r="AC26" s="398">
        <f>('Income Statement'!BJ17)/1000</f>
        <v>0</v>
      </c>
      <c r="AD26" s="398">
        <f>('Income Statement'!BK17)/1000</f>
        <v>0</v>
      </c>
      <c r="AE26" s="398">
        <f>('Income Statement'!BL17)/1000</f>
        <v>0</v>
      </c>
      <c r="AF26" s="398">
        <f>('Income Statement'!BM17)/1000</f>
        <v>0</v>
      </c>
      <c r="AG26" s="398">
        <f>('Income Statement'!BN17)/1000</f>
        <v>0</v>
      </c>
      <c r="AH26" s="398">
        <f>('Income Statement'!BO17)/1000</f>
        <v>0</v>
      </c>
      <c r="AI26" s="398">
        <f>('Income Statement'!BP17)/1000</f>
        <v>0</v>
      </c>
      <c r="AJ26" s="398">
        <f>('Income Statement'!BQ17)/1000</f>
        <v>0</v>
      </c>
      <c r="AK26" s="398">
        <f>('Income Statement'!BR17)/1000</f>
        <v>0</v>
      </c>
      <c r="AL26" s="398">
        <f>('Income Statement'!BS17)/1000</f>
        <v>0</v>
      </c>
      <c r="AM26" s="398">
        <f>('Income Statement'!BT17)/1000</f>
        <v>0</v>
      </c>
      <c r="AN26" s="398">
        <f>('Income Statement'!BU17)/1000</f>
        <v>0</v>
      </c>
      <c r="AO26" s="398">
        <f>('Income Statement'!BV17)/1000</f>
        <v>0</v>
      </c>
      <c r="AP26" s="398">
        <f>('Income Statement'!BW17)/1000</f>
        <v>0</v>
      </c>
      <c r="AQ26" s="398">
        <f>('Income Statement'!BX17)/1000</f>
        <v>0</v>
      </c>
      <c r="AR26" s="398">
        <f>('Income Statement'!BY17)/1000</f>
        <v>313.92232113724003</v>
      </c>
      <c r="AS26" s="398">
        <f>('Income Statement'!BZ17)/1000</f>
        <v>305.69171147809004</v>
      </c>
      <c r="AT26" s="398">
        <f>('Income Statement'!CA17)/1000</f>
        <v>324.59354434611998</v>
      </c>
      <c r="AU26" s="398">
        <f>('Income Statement'!CB17)/1000</f>
        <v>364.74236931115996</v>
      </c>
      <c r="AV26" s="398">
        <f>('Income Statement'!CC17)/1000</f>
        <v>357.20924595504005</v>
      </c>
      <c r="AW26" s="398">
        <f>('Income Statement'!CD17)/1000</f>
        <v>364.9043881267998</v>
      </c>
      <c r="AX26" s="398">
        <f>('Income Statement'!CE17)/1000</f>
        <v>377.73722732479985</v>
      </c>
      <c r="AY26" s="398">
        <f>('Income Statement'!CF17)/1000</f>
        <v>382.92501949561063</v>
      </c>
      <c r="AZ26" s="398">
        <f>('Income Statement'!CG17)/1000</f>
        <v>396.71294587918993</v>
      </c>
      <c r="BA26" s="398">
        <f>('Income Statement'!CH17)/1000</f>
        <v>421.63547704443016</v>
      </c>
      <c r="BB26" s="398">
        <f>('Income Statement'!CI17)/1000</f>
        <v>417.12185219368035</v>
      </c>
      <c r="BC26" s="398">
        <f>('Income Statement'!CJ17)/1000</f>
        <v>403.27545846373982</v>
      </c>
      <c r="BD26" s="398">
        <f>('Income Statement'!CK17)/1000</f>
        <v>436.01583898832013</v>
      </c>
      <c r="BE26" s="398">
        <f>('Income Statement'!CL17)/1000</f>
        <v>473.13454412469019</v>
      </c>
      <c r="BF26" s="398">
        <f>('Income Statement'!CM17)/1000</f>
        <v>505.57448782710986</v>
      </c>
      <c r="BG26" s="399">
        <f>('Income Statement'!CN17)/1000</f>
        <v>524.82778703765939</v>
      </c>
      <c r="BH26" s="398">
        <f>('Income Statement'!CO17)/1000</f>
        <v>508.19172930827995</v>
      </c>
      <c r="BI26" s="398">
        <f>('Income Statement'!CP17)/1000</f>
        <v>578.77197910790028</v>
      </c>
      <c r="BJ26" s="398">
        <f>('Income Statement'!CQ17)/1000</f>
        <v>577.02930219810059</v>
      </c>
      <c r="BK26" s="398">
        <f>('Income Statement'!CR17)/1000</f>
        <v>604.64107680212544</v>
      </c>
      <c r="BL26" s="398">
        <f>('Income Statement'!CS17)/1000</f>
        <v>609.10500000000002</v>
      </c>
      <c r="BM26" s="398">
        <f>('Income Statement'!CT17)/1000</f>
        <v>612.58500000000004</v>
      </c>
      <c r="BN26" s="398">
        <f>('Income Statement'!CU17)/1000</f>
        <v>614.77700000000004</v>
      </c>
      <c r="BO26" s="398">
        <f>('Income Statement'!CV17)/1000</f>
        <v>685.36300000000006</v>
      </c>
      <c r="BP26" s="398">
        <f>('Income Statement'!CW17)/1000</f>
        <v>643.62699999999995</v>
      </c>
      <c r="BQ26" s="398">
        <f>('Income Statement'!CX17)/1000</f>
        <v>663.20600000000002</v>
      </c>
      <c r="BR26" s="398">
        <f>('Income Statement'!CY17)/1000</f>
        <v>650.19500000000005</v>
      </c>
      <c r="BS26" s="398">
        <f>('Income Statement'!CZ17)/1000</f>
        <v>687.16399999999999</v>
      </c>
      <c r="BT26" s="397">
        <f>('Income Statement'!DA17)/1000</f>
        <v>680.29236000000003</v>
      </c>
      <c r="BU26" s="397">
        <f>('Income Statement'!DB17)/1000</f>
        <v>700.70113079999999</v>
      </c>
      <c r="BV26" s="397">
        <f>('Income Statement'!DC17)/1000</f>
        <v>721.72216472399998</v>
      </c>
      <c r="BW26" s="397">
        <f>('Income Statement'!DD17)/1000</f>
        <v>765.02549460744012</v>
      </c>
      <c r="BX26" s="397">
        <f>('Income Statement'!DE17)/1000</f>
        <v>757.37523966136564</v>
      </c>
      <c r="BY26" s="397">
        <f>('Income Statement'!DF17)/1000</f>
        <v>780.09649685120667</v>
      </c>
      <c r="BZ26" s="397">
        <f>('Income Statement'!DG17)/1000</f>
        <v>803.49939175674285</v>
      </c>
      <c r="CA26" s="397">
        <f>('Income Statement'!DH17)/1000</f>
        <v>851.70935526214748</v>
      </c>
      <c r="CB26" s="397">
        <f>('Income Statement'!DI17)/1000</f>
        <v>877.26063592001185</v>
      </c>
      <c r="CC26" s="397">
        <f>('Income Statement'!DJ17)/1000</f>
        <v>903.57845499761231</v>
      </c>
      <c r="CD26" s="397">
        <f>('Income Statement'!DK17)/1000</f>
        <v>930.68580864754063</v>
      </c>
      <c r="CE26" s="397">
        <f>('Income Statement'!DL17)/1000</f>
        <v>958.60638290696681</v>
      </c>
      <c r="CF26" s="397">
        <f>('Income Statement'!DM17)/1000</f>
        <v>987.36457439417586</v>
      </c>
      <c r="CG26" s="397">
        <f>('Income Statement'!DN17)/1000</f>
        <v>1016.9855116260012</v>
      </c>
      <c r="CH26" s="397">
        <f>('Income Statement'!DO17)/1000</f>
        <v>1047.4950769747813</v>
      </c>
      <c r="CI26" s="397">
        <f>('Income Statement'!DP17)/1000</f>
        <v>1078.9199292840246</v>
      </c>
      <c r="CJ26" s="397">
        <f>('Income Statement'!DQ17)/1000</f>
        <v>1111.2875271625455</v>
      </c>
      <c r="CK26" s="397">
        <f>('Income Statement'!DR17)/1000</f>
        <v>1144.626152977422</v>
      </c>
      <c r="CL26" s="397">
        <f>('Income Statement'!DS17)/1000</f>
        <v>1178.9649375667445</v>
      </c>
      <c r="CM26" s="397">
        <f>('Income Statement'!DT17)/1000</f>
        <v>1214.3338856937471</v>
      </c>
      <c r="CN26" s="397">
        <f>('Income Statement'!DU17)/1000</f>
        <v>1250.7639022645596</v>
      </c>
      <c r="CO26" s="397">
        <f>('Income Statement'!DV17)/1000</f>
        <v>1288.2868193324964</v>
      </c>
      <c r="CP26" s="397">
        <f>('Income Statement'!DW17)/1000</f>
        <v>1326.9354239124714</v>
      </c>
      <c r="CQ26" s="397">
        <f>('Income Statement'!DX17)/1000</f>
        <v>1366.7434866298456</v>
      </c>
    </row>
    <row r="27" spans="1:95" s="325" customFormat="1" ht="11.25" customHeight="1">
      <c r="A27" s="407" t="s">
        <v>326</v>
      </c>
      <c r="B27" s="402">
        <f>('Income Statement'!G26)/1000</f>
        <v>0</v>
      </c>
      <c r="C27" s="402">
        <f>('Income Statement'!H26)/1000</f>
        <v>0</v>
      </c>
      <c r="D27" s="402">
        <f>('Income Statement'!I26)/1000</f>
        <v>0</v>
      </c>
      <c r="E27" s="402">
        <f>('Income Statement'!J26)/1000</f>
        <v>0</v>
      </c>
      <c r="F27" s="402">
        <f>('Income Statement'!K26)/1000</f>
        <v>0</v>
      </c>
      <c r="G27" s="402">
        <f>('Income Statement'!L26)/1000</f>
        <v>0</v>
      </c>
      <c r="H27" s="402">
        <f>('Income Statement'!M26)/1000</f>
        <v>0</v>
      </c>
      <c r="I27" s="402">
        <f>('Income Statement'!N26)/1000</f>
        <v>413.09375653786071</v>
      </c>
      <c r="J27" s="402">
        <f>('Income Statement'!O26)/1000</f>
        <v>465.27800269752976</v>
      </c>
      <c r="K27" s="402">
        <f>('Income Statement'!P26)/1000</f>
        <v>319.5429450499995</v>
      </c>
      <c r="L27" s="402">
        <f>('Income Statement'!Q26)/1000</f>
        <v>374.67818133783038</v>
      </c>
      <c r="M27" s="402">
        <f>('Income Statement'!R26)/1000</f>
        <v>383.87099296570034</v>
      </c>
      <c r="N27" s="402">
        <f>('Income Statement'!S26)/1000</f>
        <v>422.899</v>
      </c>
      <c r="O27" s="402">
        <f>('Income Statement'!T26)/1000</f>
        <v>476.23599999999999</v>
      </c>
      <c r="P27" s="401">
        <f>('Income Statement'!U26)/1000</f>
        <v>594.18111292931894</v>
      </c>
      <c r="Q27" s="401">
        <f>('Income Statement'!V26)/1000</f>
        <v>713.92877372476494</v>
      </c>
      <c r="R27" s="401">
        <f>('Income Statement'!W26)/1000</f>
        <v>855.19762865284588</v>
      </c>
      <c r="S27" s="401">
        <f>('Income Statement'!X26)/1000</f>
        <v>1021.708052110371</v>
      </c>
      <c r="T27" s="401">
        <f>('Income Statement'!Y26)/1000</f>
        <v>1217.7743081063111</v>
      </c>
      <c r="U27" s="401">
        <f>('Income Statement'!Z26)/1000</f>
        <v>1448.691381761367</v>
      </c>
      <c r="V27" s="323"/>
      <c r="W27" s="407" t="s">
        <v>326</v>
      </c>
      <c r="X27" s="398">
        <f>SUM('Income Statement'!BE32:BE35)/1000</f>
        <v>0</v>
      </c>
      <c r="Y27" s="398">
        <f>SUM('Income Statement'!BF32:BF35)/1000</f>
        <v>0</v>
      </c>
      <c r="Z27" s="398">
        <f>SUM('Income Statement'!BG32:BG35)/1000</f>
        <v>0</v>
      </c>
      <c r="AA27" s="398">
        <f>SUM('Income Statement'!BH32:BH35)/1000</f>
        <v>0</v>
      </c>
      <c r="AB27" s="398">
        <f>SUM('Income Statement'!BI32:BI35)/1000</f>
        <v>0</v>
      </c>
      <c r="AC27" s="398">
        <f>SUM('Income Statement'!BJ32:BJ35)/1000</f>
        <v>0</v>
      </c>
      <c r="AD27" s="398">
        <f>SUM('Income Statement'!BK32:BK35)/1000</f>
        <v>0</v>
      </c>
      <c r="AE27" s="398">
        <f>SUM('Income Statement'!BL32:BL35)/1000</f>
        <v>0</v>
      </c>
      <c r="AF27" s="398">
        <f>('Income Statement'!BM26)/1000</f>
        <v>0</v>
      </c>
      <c r="AG27" s="398">
        <f>('Income Statement'!BN26)/1000</f>
        <v>0</v>
      </c>
      <c r="AH27" s="398">
        <f>('Income Statement'!BO26)/1000</f>
        <v>0</v>
      </c>
      <c r="AI27" s="398">
        <f>('Income Statement'!BP26)/1000</f>
        <v>0</v>
      </c>
      <c r="AJ27" s="398">
        <f>('Income Statement'!BQ26)/1000</f>
        <v>0</v>
      </c>
      <c r="AK27" s="398">
        <f>('Income Statement'!BR26)/1000</f>
        <v>0</v>
      </c>
      <c r="AL27" s="398">
        <f>('Income Statement'!BS26)/1000</f>
        <v>0</v>
      </c>
      <c r="AM27" s="398">
        <f>('Income Statement'!BT26)/1000</f>
        <v>0</v>
      </c>
      <c r="AN27" s="398">
        <f>('Income Statement'!BU26)/1000</f>
        <v>0</v>
      </c>
      <c r="AO27" s="398">
        <f>('Income Statement'!BV26)/1000</f>
        <v>0</v>
      </c>
      <c r="AP27" s="398">
        <f>('Income Statement'!BW26)/1000</f>
        <v>0</v>
      </c>
      <c r="AQ27" s="398">
        <f>('Income Statement'!BX26)/1000</f>
        <v>0</v>
      </c>
      <c r="AR27" s="398">
        <f>('Income Statement'!BY26)/1000</f>
        <v>91.016210445119995</v>
      </c>
      <c r="AS27" s="398">
        <f>('Income Statement'!BZ26)/1000</f>
        <v>86.045609575099988</v>
      </c>
      <c r="AT27" s="398">
        <f>('Income Statement'!CA26)/1000</f>
        <v>105.87815588619979</v>
      </c>
      <c r="AU27" s="398">
        <f>('Income Statement'!CB26)/1000</f>
        <v>130.15378063144092</v>
      </c>
      <c r="AV27" s="398">
        <f>('Income Statement'!CC26)/1000</f>
        <v>92.499623057760033</v>
      </c>
      <c r="AW27" s="398">
        <f>('Income Statement'!CD26)/1000</f>
        <v>129.26159136487991</v>
      </c>
      <c r="AX27" s="398">
        <f>('Income Statement'!CE26)/1000</f>
        <v>124.00730736013018</v>
      </c>
      <c r="AY27" s="398">
        <f>('Income Statement'!CF26)/1000</f>
        <v>119.50948091475962</v>
      </c>
      <c r="AZ27" s="398">
        <f>('Income Statement'!CG26)/1000</f>
        <v>83.953108852340151</v>
      </c>
      <c r="BA27" s="398">
        <f>('Income Statement'!CH26)/1000</f>
        <v>88.854228783589733</v>
      </c>
      <c r="BB27" s="398">
        <f>('Income Statement'!CI26)/1000</f>
        <v>82.867210589020175</v>
      </c>
      <c r="BC27" s="398">
        <f>('Income Statement'!CJ26)/1000</f>
        <v>63.868396825049452</v>
      </c>
      <c r="BD27" s="398">
        <f>('Income Statement'!CK26)/1000</f>
        <v>21.175034318749983</v>
      </c>
      <c r="BE27" s="398">
        <f>('Income Statement'!CL26)/1000</f>
        <v>100.1706561571001</v>
      </c>
      <c r="BF27" s="398">
        <f>('Income Statement'!CM26)/1000</f>
        <v>122.01544195719032</v>
      </c>
      <c r="BG27" s="399">
        <f>('Income Statement'!CN26)/1000</f>
        <v>131.31704890478997</v>
      </c>
      <c r="BH27" s="398">
        <f>('Income Statement'!CO26)/1000</f>
        <v>92.303218847999901</v>
      </c>
      <c r="BI27" s="398">
        <f>('Income Statement'!CP26)/1000</f>
        <v>82.457866847160034</v>
      </c>
      <c r="BJ27" s="398">
        <f>('Income Statement'!CQ26)/1000</f>
        <v>106.30349056338012</v>
      </c>
      <c r="BK27" s="398">
        <f>('Income Statement'!CR26)/1000</f>
        <v>102.80641670716015</v>
      </c>
      <c r="BL27" s="398">
        <f>('Income Statement'!CS26)/1000</f>
        <v>97.102999999999994</v>
      </c>
      <c r="BM27" s="398">
        <f>('Income Statement'!CT26)/1000</f>
        <v>104.16500000000001</v>
      </c>
      <c r="BN27" s="398">
        <f>('Income Statement'!CU26)/1000</f>
        <v>117.63800000000001</v>
      </c>
      <c r="BO27" s="398">
        <f>('Income Statement'!CV26)/1000</f>
        <v>103.99299999999999</v>
      </c>
      <c r="BP27" s="398">
        <f>('Income Statement'!CW26)/1000</f>
        <v>96.251000000000005</v>
      </c>
      <c r="BQ27" s="398">
        <f>('Income Statement'!CX26)/1000</f>
        <v>120.348</v>
      </c>
      <c r="BR27" s="398">
        <f>('Income Statement'!CY26)/1000</f>
        <v>125.245</v>
      </c>
      <c r="BS27" s="398">
        <f>('Income Statement'!CZ26)/1000</f>
        <v>134.392</v>
      </c>
      <c r="BT27" s="397">
        <f>('Income Statement'!DA26)/1000</f>
        <v>136.88353872032098</v>
      </c>
      <c r="BU27" s="397">
        <f>('Income Statement'!DB26)/1000</f>
        <v>148.22577420316242</v>
      </c>
      <c r="BV27" s="397">
        <f>('Income Statement'!DC26)/1000</f>
        <v>151.38644386386127</v>
      </c>
      <c r="BW27" s="397">
        <f>('Income Statement'!DD26)/1000</f>
        <v>157.68535614197427</v>
      </c>
      <c r="BX27" s="397">
        <f>('Income Statement'!DE26)/1000</f>
        <v>164.68758305643885</v>
      </c>
      <c r="BY27" s="397">
        <f>('Income Statement'!DF26)/1000</f>
        <v>178.10887473131524</v>
      </c>
      <c r="BZ27" s="397">
        <f>('Income Statement'!DG26)/1000</f>
        <v>181.85435238412995</v>
      </c>
      <c r="CA27" s="397">
        <f>('Income Statement'!DH26)/1000</f>
        <v>189.27796355288064</v>
      </c>
      <c r="CB27" s="397">
        <f>('Income Statement'!DI26)/1000</f>
        <v>197.53992656823416</v>
      </c>
      <c r="CC27" s="397">
        <f>('Income Statement'!DJ26)/1000</f>
        <v>213.36832668022984</v>
      </c>
      <c r="CD27" s="397">
        <f>('Income Statement'!DK26)/1000</f>
        <v>217.77170422618676</v>
      </c>
      <c r="CE27" s="397">
        <f>('Income Statement'!DL26)/1000</f>
        <v>226.51767117819526</v>
      </c>
      <c r="CF27" s="397">
        <f>('Income Statement'!DM26)/1000</f>
        <v>236.25550016628833</v>
      </c>
      <c r="CG27" s="397">
        <f>('Income Statement'!DN26)/1000</f>
        <v>254.92228849323135</v>
      </c>
      <c r="CH27" s="397">
        <f>('Income Statement'!DO26)/1000</f>
        <v>260.11279568568426</v>
      </c>
      <c r="CI27" s="397">
        <f>('Income Statement'!DP26)/1000</f>
        <v>270.41746776516703</v>
      </c>
      <c r="CJ27" s="397">
        <f>('Income Statement'!DQ26)/1000</f>
        <v>281.8771813198548</v>
      </c>
      <c r="CK27" s="397">
        <f>('Income Statement'!DR26)/1000</f>
        <v>303.86082055556517</v>
      </c>
      <c r="CL27" s="397">
        <f>('Income Statement'!DS26)/1000</f>
        <v>309.95228260941622</v>
      </c>
      <c r="CM27" s="397">
        <f>('Income Statement'!DT26)/1000</f>
        <v>322.08402362147444</v>
      </c>
      <c r="CN27" s="397">
        <f>('Income Statement'!DU26)/1000</f>
        <v>335.58835446163982</v>
      </c>
      <c r="CO27" s="397">
        <f>('Income Statement'!DV26)/1000</f>
        <v>361.49001051607087</v>
      </c>
      <c r="CP27" s="397">
        <f>('Income Statement'!DW26)/1000</f>
        <v>368.66290566768595</v>
      </c>
      <c r="CQ27" s="397">
        <f>('Income Statement'!DX26)/1000</f>
        <v>382.95011111597051</v>
      </c>
    </row>
    <row r="28" spans="1:95" s="325" customFormat="1" ht="11.25" customHeight="1">
      <c r="A28" s="407" t="s">
        <v>373</v>
      </c>
      <c r="B28" s="402">
        <f>('Income Statement'!G28)/1000</f>
        <v>0</v>
      </c>
      <c r="C28" s="402">
        <f>('Income Statement'!H28)/1000</f>
        <v>0</v>
      </c>
      <c r="D28" s="402">
        <f>('Income Statement'!I28)/1000</f>
        <v>0</v>
      </c>
      <c r="E28" s="402">
        <f>('Income Statement'!J28)/1000</f>
        <v>0</v>
      </c>
      <c r="F28" s="402">
        <f>('Income Statement'!K28)/1000</f>
        <v>0</v>
      </c>
      <c r="G28" s="402">
        <f>('Income Statement'!L28)/1000</f>
        <v>0</v>
      </c>
      <c r="H28" s="402">
        <f>('Income Statement'!M28)/1000</f>
        <v>0</v>
      </c>
      <c r="I28" s="402">
        <f>('Income Statement'!N28)/1000</f>
        <v>-1177.6591204909801</v>
      </c>
      <c r="J28" s="402">
        <f>('Income Statement'!O28)/1000</f>
        <v>-1318.2321405823302</v>
      </c>
      <c r="K28" s="402">
        <f>('Income Statement'!P28)/1000</f>
        <v>-1587.1110465899201</v>
      </c>
      <c r="L28" s="402">
        <f>('Income Statement'!Q28)/1000</f>
        <v>-1995.6994493909006</v>
      </c>
      <c r="M28" s="402">
        <f>('Income Statement'!R28)/1000</f>
        <v>-2215.0352453401974</v>
      </c>
      <c r="N28" s="402">
        <f>('Income Statement'!S28)/1000</f>
        <v>-2659.123</v>
      </c>
      <c r="O28" s="402">
        <f>('Income Statement'!T28)/1000</f>
        <v>-2878.3180000000002</v>
      </c>
      <c r="P28" s="401">
        <f>('Income Statement'!U28)/1000</f>
        <v>-3117.2984615794148</v>
      </c>
      <c r="Q28" s="401">
        <f>('Income Statement'!V28)/1000</f>
        <v>-3312.2981813209599</v>
      </c>
      <c r="R28" s="401">
        <f>('Income Statement'!W28)/1000</f>
        <v>-3498.4962169430041</v>
      </c>
      <c r="S28" s="401">
        <f>('Income Statement'!X28)/1000</f>
        <v>-3720.191207987029</v>
      </c>
      <c r="T28" s="401">
        <f>('Income Statement'!Y28)/1000</f>
        <v>-3955.9347118795149</v>
      </c>
      <c r="U28" s="401">
        <f>('Income Statement'!Z28)/1000</f>
        <v>-4206.6169639492955</v>
      </c>
      <c r="V28" s="323"/>
      <c r="W28" s="407" t="s">
        <v>373</v>
      </c>
      <c r="X28" s="398">
        <f>('Income Statement'!BE28)/1000</f>
        <v>0</v>
      </c>
      <c r="Y28" s="398">
        <f>('Income Statement'!BF28)/1000</f>
        <v>0</v>
      </c>
      <c r="Z28" s="398">
        <f>('Income Statement'!BG28)/1000</f>
        <v>0</v>
      </c>
      <c r="AA28" s="398">
        <f>('Income Statement'!BH28)/1000</f>
        <v>0</v>
      </c>
      <c r="AB28" s="398">
        <f>('Income Statement'!BI28)/1000</f>
        <v>0</v>
      </c>
      <c r="AC28" s="398">
        <f>('Income Statement'!BJ28)/1000</f>
        <v>0</v>
      </c>
      <c r="AD28" s="398">
        <f>('Income Statement'!BK28)/1000</f>
        <v>0</v>
      </c>
      <c r="AE28" s="398">
        <f>('Income Statement'!BL28)/1000</f>
        <v>0</v>
      </c>
      <c r="AF28" s="398">
        <f>('Income Statement'!BM28)/1000</f>
        <v>0</v>
      </c>
      <c r="AG28" s="398">
        <f>('Income Statement'!BN28)/1000</f>
        <v>0</v>
      </c>
      <c r="AH28" s="398">
        <f>('Income Statement'!BO28)/1000</f>
        <v>0</v>
      </c>
      <c r="AI28" s="398">
        <f>('Income Statement'!BP28)/1000</f>
        <v>0</v>
      </c>
      <c r="AJ28" s="398">
        <f>('Income Statement'!BQ28)/1000</f>
        <v>0</v>
      </c>
      <c r="AK28" s="398">
        <f>('Income Statement'!BR28)/1000</f>
        <v>0</v>
      </c>
      <c r="AL28" s="398">
        <f>('Income Statement'!BS28)/1000</f>
        <v>0</v>
      </c>
      <c r="AM28" s="398">
        <f>('Income Statement'!BT28)/1000</f>
        <v>0</v>
      </c>
      <c r="AN28" s="398">
        <f>('Income Statement'!BU28)/1000</f>
        <v>0</v>
      </c>
      <c r="AO28" s="398">
        <f>('Income Statement'!BV28)/1000</f>
        <v>0</v>
      </c>
      <c r="AP28" s="398">
        <f>('Income Statement'!BW28)/1000</f>
        <v>0</v>
      </c>
      <c r="AQ28" s="398">
        <f>('Income Statement'!BX28)/1000</f>
        <v>0</v>
      </c>
      <c r="AR28" s="398">
        <f>('Income Statement'!BY28)/1000</f>
        <v>-300.63547081208998</v>
      </c>
      <c r="AS28" s="398">
        <f>('Income Statement'!BZ28)/1000</f>
        <v>-282.51564002478017</v>
      </c>
      <c r="AT28" s="398">
        <f>('Income Statement'!CA28)/1000</f>
        <v>-281.37047064707008</v>
      </c>
      <c r="AU28" s="398">
        <f>('Income Statement'!CB28)/1000</f>
        <v>-313.13753900703983</v>
      </c>
      <c r="AV28" s="398">
        <f>('Income Statement'!CC28)/1000</f>
        <v>-328.05881451164993</v>
      </c>
      <c r="AW28" s="398">
        <f>('Income Statement'!CD28)/1000</f>
        <v>-309.85930196504023</v>
      </c>
      <c r="AX28" s="398">
        <f>('Income Statement'!CE28)/1000</f>
        <v>-322.88959765014982</v>
      </c>
      <c r="AY28" s="398">
        <f>('Income Statement'!CF28)/1000</f>
        <v>-357.42442645549028</v>
      </c>
      <c r="AZ28" s="398">
        <f>('Income Statement'!CG28)/1000</f>
        <v>-376.92215714331996</v>
      </c>
      <c r="BA28" s="398">
        <f>('Income Statement'!CH28)/1000</f>
        <v>-390.04687338978016</v>
      </c>
      <c r="BB28" s="398">
        <f>('Income Statement'!CI28)/1000</f>
        <v>-405.21590348315971</v>
      </c>
      <c r="BC28" s="398">
        <f>('Income Statement'!CJ28)/1000</f>
        <v>-414.92611257366019</v>
      </c>
      <c r="BD28" s="398">
        <f>('Income Statement'!CK28)/1000</f>
        <v>-443.07214936819014</v>
      </c>
      <c r="BE28" s="398">
        <f>('Income Statement'!CL28)/1000</f>
        <v>-469.71247649162967</v>
      </c>
      <c r="BF28" s="398">
        <f>('Income Statement'!CM28)/1000</f>
        <v>-511.64801836054028</v>
      </c>
      <c r="BG28" s="399">
        <f>('Income Statement'!CN28)/1000</f>
        <v>-571.26680517054047</v>
      </c>
      <c r="BH28" s="398">
        <f>('Income Statement'!CO28)/1000</f>
        <v>-544.79657542309997</v>
      </c>
      <c r="BI28" s="398">
        <f>('Income Statement'!CP28)/1000</f>
        <v>-575.51062551705968</v>
      </c>
      <c r="BJ28" s="398">
        <f>('Income Statement'!CQ28)/1000</f>
        <v>-567.90415664875457</v>
      </c>
      <c r="BK28" s="398">
        <f>('Income Statement'!CR28)/1000</f>
        <v>-526.82388775128311</v>
      </c>
      <c r="BL28" s="398">
        <f>('Income Statement'!CS28)/1000</f>
        <v>-607.23199999999997</v>
      </c>
      <c r="BM28" s="398">
        <f>('Income Statement'!CT28)/1000</f>
        <v>-699.01300000000003</v>
      </c>
      <c r="BN28" s="398">
        <f>('Income Statement'!CU28)/1000</f>
        <v>-672.54</v>
      </c>
      <c r="BO28" s="398">
        <f>('Income Statement'!CV28)/1000</f>
        <v>-680.33799999999997</v>
      </c>
      <c r="BP28" s="398">
        <f>('Income Statement'!CW28)/1000</f>
        <v>-715.19500000000005</v>
      </c>
      <c r="BQ28" s="398">
        <f>('Income Statement'!CX28)/1000</f>
        <v>-718.21400000000006</v>
      </c>
      <c r="BR28" s="398">
        <f>('Income Statement'!CY28)/1000</f>
        <v>-703.98500000000001</v>
      </c>
      <c r="BS28" s="398">
        <f>('Income Statement'!CZ28)/1000</f>
        <v>-740.92399999999998</v>
      </c>
      <c r="BT28" s="397">
        <f>('Income Statement'!DA28)/1000</f>
        <v>-770.11748541910742</v>
      </c>
      <c r="BU28" s="397">
        <f>('Income Statement'!DB28)/1000</f>
        <v>-774.53244713760171</v>
      </c>
      <c r="BV28" s="397">
        <f>('Income Statement'!DC28)/1000</f>
        <v>-776.18784205305144</v>
      </c>
      <c r="BW28" s="397">
        <f>('Income Statement'!DD28)/1000</f>
        <v>-796.4606869696546</v>
      </c>
      <c r="BX28" s="397">
        <f>('Income Statement'!DE28)/1000</f>
        <v>-815.74055033173136</v>
      </c>
      <c r="BY28" s="397">
        <f>('Income Statement'!DF28)/1000</f>
        <v>-822.66570756179283</v>
      </c>
      <c r="BZ28" s="397">
        <f>('Income Statement'!DG28)/1000</f>
        <v>-830.26873042549448</v>
      </c>
      <c r="CA28" s="397">
        <f>('Income Statement'!DH28)/1000</f>
        <v>-843.62319300194076</v>
      </c>
      <c r="CB28" s="397">
        <f>('Income Statement'!DI28)/1000</f>
        <v>-856.73701204935071</v>
      </c>
      <c r="CC28" s="397">
        <f>('Income Statement'!DJ28)/1000</f>
        <v>-867.26557375505797</v>
      </c>
      <c r="CD28" s="397">
        <f>('Income Statement'!DK28)/1000</f>
        <v>-879.63167431193892</v>
      </c>
      <c r="CE28" s="397">
        <f>('Income Statement'!DL28)/1000</f>
        <v>-894.86195682665641</v>
      </c>
      <c r="CF28" s="397">
        <f>('Income Statement'!DM28)/1000</f>
        <v>-911.02728204979439</v>
      </c>
      <c r="CG28" s="397">
        <f>('Income Statement'!DN28)/1000</f>
        <v>-922.22302452355507</v>
      </c>
      <c r="CH28" s="397">
        <f>('Income Statement'!DO28)/1000</f>
        <v>-935.37274820940513</v>
      </c>
      <c r="CI28" s="397">
        <f>('Income Statement'!DP28)/1000</f>
        <v>-951.56815320427438</v>
      </c>
      <c r="CJ28" s="397">
        <f>('Income Statement'!DQ28)/1000</f>
        <v>-968.75785330402755</v>
      </c>
      <c r="CK28" s="397">
        <f>('Income Statement'!DR28)/1000</f>
        <v>-980.6630548920873</v>
      </c>
      <c r="CL28" s="397">
        <f>('Income Statement'!DS28)/1000</f>
        <v>-994.64605884865693</v>
      </c>
      <c r="CM28" s="397">
        <f>('Income Statement'!DT28)/1000</f>
        <v>-1011.8677448347432</v>
      </c>
      <c r="CN28" s="397">
        <f>('Income Statement'!DU28)/1000</f>
        <v>-1030.146733066696</v>
      </c>
      <c r="CO28" s="397">
        <f>('Income Statement'!DV28)/1000</f>
        <v>-1042.8063512371327</v>
      </c>
      <c r="CP28" s="397">
        <f>('Income Statement'!DW28)/1000</f>
        <v>-1057.6754393123322</v>
      </c>
      <c r="CQ28" s="397">
        <f>('Income Statement'!DX28)/1000</f>
        <v>-1075.9884403331346</v>
      </c>
    </row>
    <row r="29" spans="1:95" s="325" customFormat="1" ht="11.25" customHeight="1">
      <c r="A29" s="414" t="s">
        <v>372</v>
      </c>
      <c r="B29" s="402">
        <f>('Income Statement'!G29)/1000</f>
        <v>0</v>
      </c>
      <c r="C29" s="398">
        <f>SUM('Income Statement'!H29:H30)/1000</f>
        <v>0</v>
      </c>
      <c r="D29" s="398">
        <f>SUM('Income Statement'!I29:I30)/1000</f>
        <v>0</v>
      </c>
      <c r="E29" s="398">
        <f>SUM('Income Statement'!J29:J30)/1000</f>
        <v>0</v>
      </c>
      <c r="F29" s="398">
        <f>SUM('Income Statement'!K29:K30)/1000</f>
        <v>0</v>
      </c>
      <c r="G29" s="398">
        <f>SUM('Income Statement'!L29:L30)/1000</f>
        <v>0</v>
      </c>
      <c r="H29" s="398">
        <f>SUM('Income Statement'!M29:M30)/1000</f>
        <v>0</v>
      </c>
      <c r="I29" s="398">
        <f>SUM('Income Statement'!N29:N30)/1000</f>
        <v>-1166.2635418349601</v>
      </c>
      <c r="J29" s="398">
        <f>SUM('Income Statement'!O29:O30)/1000</f>
        <v>-1205.5603970151997</v>
      </c>
      <c r="K29" s="398">
        <f>SUM('Income Statement'!P29:P30)/1000</f>
        <v>-1361.8872598089599</v>
      </c>
      <c r="L29" s="398">
        <f>SUM('Income Statement'!Q29:Q30)/1000</f>
        <v>-1711.12400771952</v>
      </c>
      <c r="M29" s="398">
        <f>SUM('Income Statement'!R29:R30)/1000</f>
        <v>-2098.4166600577687</v>
      </c>
      <c r="N29" s="398">
        <f>SUM('Income Statement'!S29:S30)/1000</f>
        <v>-2364.27</v>
      </c>
      <c r="O29" s="398">
        <f>SUM('Income Statement'!T29:T30)/1000</f>
        <v>-2463.64</v>
      </c>
      <c r="P29" s="397">
        <f>SUM('Income Statement'!U29:U30)/1000</f>
        <v>-2790.3181842668682</v>
      </c>
      <c r="Q29" s="397">
        <f>SUM('Income Statement'!V29:V30)/1000</f>
        <v>-2942.7987271593897</v>
      </c>
      <c r="R29" s="397">
        <f>SUM('Income Statement'!W29:W30)/1000</f>
        <v>-3179.1087317155084</v>
      </c>
      <c r="S29" s="397">
        <f>SUM('Income Statement'!X29:X30)/1000</f>
        <v>-3444.7667412999876</v>
      </c>
      <c r="T29" s="397">
        <f>SUM('Income Statement'!Y29:Y30)/1000</f>
        <v>-3736.8010177363226</v>
      </c>
      <c r="U29" s="397">
        <f>SUM('Income Statement'!Z29:Z30)/1000</f>
        <v>-4057.980349522833</v>
      </c>
      <c r="V29" s="323"/>
      <c r="W29" s="414" t="s">
        <v>372</v>
      </c>
      <c r="X29" s="398">
        <f>('Income Statement'!BE29)/1000</f>
        <v>0</v>
      </c>
      <c r="Y29" s="398">
        <f>('Income Statement'!BF29)/1000</f>
        <v>0</v>
      </c>
      <c r="Z29" s="398">
        <f>('Income Statement'!BG29)/1000</f>
        <v>0</v>
      </c>
      <c r="AA29" s="398">
        <f>('Income Statement'!BH29)/1000</f>
        <v>0</v>
      </c>
      <c r="AB29" s="398">
        <f>('Income Statement'!BI29)/1000</f>
        <v>0</v>
      </c>
      <c r="AC29" s="398">
        <f>('Income Statement'!BJ29)/1000</f>
        <v>0</v>
      </c>
      <c r="AD29" s="398">
        <f>('Income Statement'!BK29)/1000</f>
        <v>0</v>
      </c>
      <c r="AE29" s="398">
        <f>('Income Statement'!BL29)/1000</f>
        <v>0</v>
      </c>
      <c r="AF29" s="398">
        <f>SUM('Income Statement'!BM29:BM30)/1000</f>
        <v>0</v>
      </c>
      <c r="AG29" s="398">
        <f>SUM('Income Statement'!BN29:BN30)/1000</f>
        <v>0</v>
      </c>
      <c r="AH29" s="398">
        <f>SUM('Income Statement'!BO29:BO30)/1000</f>
        <v>0</v>
      </c>
      <c r="AI29" s="398">
        <f>SUM('Income Statement'!BP29:BP30)/1000</f>
        <v>0</v>
      </c>
      <c r="AJ29" s="398">
        <f>SUM('Income Statement'!BQ29:BQ30)/1000</f>
        <v>0</v>
      </c>
      <c r="AK29" s="398">
        <f>SUM('Income Statement'!BR29:BR30)/1000</f>
        <v>0</v>
      </c>
      <c r="AL29" s="398">
        <f>SUM('Income Statement'!BS29:BS30)/1000</f>
        <v>0</v>
      </c>
      <c r="AM29" s="398">
        <f>SUM('Income Statement'!BT29:BT30)/1000</f>
        <v>0</v>
      </c>
      <c r="AN29" s="398">
        <f>SUM('Income Statement'!BU29:BU30)/1000</f>
        <v>0</v>
      </c>
      <c r="AO29" s="398">
        <f>SUM('Income Statement'!BV29:BV30)/1000</f>
        <v>0</v>
      </c>
      <c r="AP29" s="398">
        <f>SUM('Income Statement'!BW29:BW30)/1000</f>
        <v>0</v>
      </c>
      <c r="AQ29" s="398">
        <f>SUM('Income Statement'!BX29:BX30)/1000</f>
        <v>0</v>
      </c>
      <c r="AR29" s="398">
        <f>SUM('Income Statement'!BY29:BY30)/1000</f>
        <v>-294.01716801244004</v>
      </c>
      <c r="AS29" s="398">
        <f>SUM('Income Statement'!BZ29:BZ30)/1000</f>
        <v>-274.74761474950003</v>
      </c>
      <c r="AT29" s="398">
        <f>SUM('Income Statement'!CA29:CA30)/1000</f>
        <v>-270.66418551079983</v>
      </c>
      <c r="AU29" s="398">
        <f>SUM('Income Statement'!CB29:CB30)/1000</f>
        <v>-326.83457356222021</v>
      </c>
      <c r="AV29" s="398">
        <f>SUM('Income Statement'!CC29:CC30)/1000</f>
        <v>-280.50206497439996</v>
      </c>
      <c r="AW29" s="398">
        <f>SUM('Income Statement'!CD29:CD30)/1000</f>
        <v>-287.76463536372006</v>
      </c>
      <c r="AX29" s="398">
        <f>SUM('Income Statement'!CE29:CE30)/1000</f>
        <v>-288.44183908804007</v>
      </c>
      <c r="AY29" s="398">
        <f>SUM('Income Statement'!CF29:CF30)/1000</f>
        <v>-348.85185758903975</v>
      </c>
      <c r="AZ29" s="398">
        <f>SUM('Income Statement'!CG29:CG30)/1000</f>
        <v>-312.39180966985992</v>
      </c>
      <c r="BA29" s="398">
        <f>SUM('Income Statement'!CH29:CH30)/1000</f>
        <v>-328.80264638994998</v>
      </c>
      <c r="BB29" s="398">
        <f>SUM('Income Statement'!CI29:CI30)/1000</f>
        <v>-340.42902612525012</v>
      </c>
      <c r="BC29" s="398">
        <f>SUM('Income Statement'!CJ29:CJ30)/1000</f>
        <v>-380.26377762389984</v>
      </c>
      <c r="BD29" s="398">
        <f>SUM('Income Statement'!CK29:CK30)/1000</f>
        <v>-355.99236254262996</v>
      </c>
      <c r="BE29" s="398">
        <f>SUM('Income Statement'!CL29:CL30)/1000</f>
        <v>-403.64837286462995</v>
      </c>
      <c r="BF29" s="398">
        <f>SUM('Income Statement'!CM29:CM30)/1000</f>
        <v>-435.75511510247981</v>
      </c>
      <c r="BG29" s="399">
        <f>SUM('Income Statement'!CN29:CN30)/1000</f>
        <v>-515.72815720978019</v>
      </c>
      <c r="BH29" s="398">
        <f>SUM('Income Statement'!CO29:CO30)/1000</f>
        <v>-460.29396937848998</v>
      </c>
      <c r="BI29" s="398">
        <f>SUM('Income Statement'!CP29:CP30)/1000</f>
        <v>-514.10964295894019</v>
      </c>
      <c r="BJ29" s="398">
        <f>SUM('Income Statement'!CQ29:CQ30)/1000</f>
        <v>-517.55302184496315</v>
      </c>
      <c r="BK29" s="398">
        <f>SUM('Income Statement'!CR29:CR30)/1000</f>
        <v>-606.46002587537532</v>
      </c>
      <c r="BL29" s="398">
        <f>SUM('Income Statement'!CS29:CS30)/1000</f>
        <v>-486.25099999999998</v>
      </c>
      <c r="BM29" s="398">
        <f>SUM('Income Statement'!CT29:CT30)/1000</f>
        <v>-589.28099999999995</v>
      </c>
      <c r="BN29" s="398">
        <f>SUM('Income Statement'!CU29:CU30)/1000</f>
        <v>-592.65899999999999</v>
      </c>
      <c r="BO29" s="398">
        <f>SUM('Income Statement'!CV29:CV30)/1000</f>
        <v>-696.07899999999995</v>
      </c>
      <c r="BP29" s="398">
        <f>SUM('Income Statement'!CW29:CW30)/1000</f>
        <v>-539.55999999999995</v>
      </c>
      <c r="BQ29" s="398">
        <f>SUM('Income Statement'!CX29:CX30)/1000</f>
        <v>-592.68399999999997</v>
      </c>
      <c r="BR29" s="398">
        <f>SUM('Income Statement'!CY29:CY30)/1000</f>
        <v>-608.12900000000002</v>
      </c>
      <c r="BS29" s="398">
        <f>SUM('Income Statement'!CZ29:CZ30)/1000</f>
        <v>-723.26700000000005</v>
      </c>
      <c r="BT29" s="397">
        <f>SUM('Income Statement'!DA29:DA30)/1000</f>
        <v>-662.83182866766083</v>
      </c>
      <c r="BU29" s="397">
        <f>SUM('Income Statement'!DB29:DB30)/1000</f>
        <v>-685.45599474419066</v>
      </c>
      <c r="BV29" s="397">
        <f>SUM('Income Statement'!DC29:DC30)/1000</f>
        <v>-698.63059648761975</v>
      </c>
      <c r="BW29" s="397">
        <f>SUM('Income Statement'!DD29:DD30)/1000</f>
        <v>-743.39976436739687</v>
      </c>
      <c r="BX29" s="397">
        <f>SUM('Income Statement'!DE29:DE30)/1000</f>
        <v>-691.00432450783057</v>
      </c>
      <c r="BY29" s="397">
        <f>SUM('Income Statement'!DF29:DF30)/1000</f>
        <v>-718.85972033973474</v>
      </c>
      <c r="BZ29" s="397">
        <f>SUM('Income Statement'!DG29:DG30)/1000</f>
        <v>-738.65512698217253</v>
      </c>
      <c r="CA29" s="397">
        <f>SUM('Income Statement'!DH29:DH30)/1000</f>
        <v>-794.27955532965166</v>
      </c>
      <c r="CB29" s="397">
        <f>SUM('Income Statement'!DI29:DI30)/1000</f>
        <v>-743.74868928738226</v>
      </c>
      <c r="CC29" s="397">
        <f>SUM('Income Statement'!DJ29:DJ30)/1000</f>
        <v>-775.65069879159319</v>
      </c>
      <c r="CD29" s="397">
        <f>SUM('Income Statement'!DK29:DK30)/1000</f>
        <v>-798.79207005201204</v>
      </c>
      <c r="CE29" s="397">
        <f>SUM('Income Statement'!DL29:DL30)/1000</f>
        <v>-860.9172735845209</v>
      </c>
      <c r="CF29" s="397">
        <f>SUM('Income Statement'!DM29:DM30)/1000</f>
        <v>-804.91948092972143</v>
      </c>
      <c r="CG29" s="397">
        <f>SUM('Income Statement'!DN29:DN30)/1000</f>
        <v>-840.09316044544039</v>
      </c>
      <c r="CH29" s="397">
        <f>SUM('Income Statement'!DO29:DO30)/1000</f>
        <v>-865.57701132029888</v>
      </c>
      <c r="CI29" s="397">
        <f>SUM('Income Statement'!DP29:DP30)/1000</f>
        <v>-934.1770886045266</v>
      </c>
      <c r="CJ29" s="397">
        <f>SUM('Income Statement'!DQ29:DQ30)/1000</f>
        <v>-872.13104285225756</v>
      </c>
      <c r="CK29" s="397">
        <f>SUM('Income Statement'!DR29:DR30)/1000</f>
        <v>-910.92148860593545</v>
      </c>
      <c r="CL29" s="397">
        <f>SUM('Income Statement'!DS29:DS30)/1000</f>
        <v>-938.99441761796902</v>
      </c>
      <c r="CM29" s="397">
        <f>SUM('Income Statement'!DT29:DT30)/1000</f>
        <v>-1014.7540686601606</v>
      </c>
      <c r="CN29" s="397">
        <f>SUM('Income Statement'!DU29:DU30)/1000</f>
        <v>-946.01685326905692</v>
      </c>
      <c r="CO29" s="397">
        <f>SUM('Income Statement'!DV29:DV30)/1000</f>
        <v>-988.80578667850409</v>
      </c>
      <c r="CP29" s="397">
        <f>SUM('Income Statement'!DW29:DW30)/1000</f>
        <v>-1019.7405769022474</v>
      </c>
      <c r="CQ29" s="397">
        <f>SUM('Income Statement'!DX29:DX30)/1000</f>
        <v>-1103.4171326730243</v>
      </c>
    </row>
    <row r="30" spans="1:95" s="325" customFormat="1" ht="11.25" customHeight="1">
      <c r="A30" s="407" t="s">
        <v>371</v>
      </c>
      <c r="B30" s="402">
        <f>('Income Statement'!G18)/1000</f>
        <v>0</v>
      </c>
      <c r="C30" s="402">
        <f>('Income Statement'!H18)/1000</f>
        <v>0</v>
      </c>
      <c r="D30" s="402">
        <f>('Income Statement'!I18)/1000</f>
        <v>0</v>
      </c>
      <c r="E30" s="402">
        <f>('Income Statement'!J18)/1000</f>
        <v>0</v>
      </c>
      <c r="F30" s="402">
        <f>('Income Statement'!K18)/1000</f>
        <v>0</v>
      </c>
      <c r="G30" s="402">
        <f>('Income Statement'!L18)/1000</f>
        <v>0</v>
      </c>
      <c r="H30" s="402">
        <f>('Income Statement'!M18)/1000</f>
        <v>0</v>
      </c>
      <c r="I30" s="402">
        <f>('Income Statement'!N18)/1000</f>
        <v>258.4714954130468</v>
      </c>
      <c r="J30" s="402">
        <f>('Income Statement'!O18)/1000</f>
        <v>294.24637753966999</v>
      </c>
      <c r="K30" s="402">
        <f>('Income Statement'!P18)/1000</f>
        <v>373.37491727999901</v>
      </c>
      <c r="L30" s="402">
        <f>('Income Statement'!Q18)/1000</f>
        <v>467.00138341187989</v>
      </c>
      <c r="M30" s="402">
        <f>('Income Statement'!R18)/1000</f>
        <v>536.16939105851236</v>
      </c>
      <c r="N30" s="402">
        <f>('Income Statement'!S18)/1000</f>
        <v>625.07000000000005</v>
      </c>
      <c r="O30" s="402">
        <f>('Income Statement'!T18)/1000</f>
        <v>773.798</v>
      </c>
      <c r="P30" s="401">
        <f>('Income Statement'!U18)/1000</f>
        <v>847.15365525290952</v>
      </c>
      <c r="Q30" s="401">
        <f>('Income Statement'!V18)/1000</f>
        <v>876.69123278259099</v>
      </c>
      <c r="R30" s="401">
        <f>('Income Statement'!W18)/1000</f>
        <v>906.41934449068469</v>
      </c>
      <c r="S30" s="401">
        <f>('Income Statement'!X18)/1000</f>
        <v>937.32440093296157</v>
      </c>
      <c r="T30" s="401">
        <f>('Income Statement'!Y18)/1000</f>
        <v>969.28318876292985</v>
      </c>
      <c r="U30" s="401">
        <f>('Income Statement'!Z18)/1000</f>
        <v>1002.3316357531039</v>
      </c>
      <c r="V30" s="323"/>
      <c r="W30" s="407" t="s">
        <v>371</v>
      </c>
      <c r="X30" s="398">
        <f>('Income Statement'!BE18)/1000</f>
        <v>0</v>
      </c>
      <c r="Y30" s="398">
        <f>('Income Statement'!BF18)/1000</f>
        <v>0</v>
      </c>
      <c r="Z30" s="398">
        <f>('Income Statement'!BG18)/1000</f>
        <v>0</v>
      </c>
      <c r="AA30" s="398">
        <f>('Income Statement'!BH18)/1000</f>
        <v>0</v>
      </c>
      <c r="AB30" s="398">
        <f>('Income Statement'!BI18)/1000</f>
        <v>0</v>
      </c>
      <c r="AC30" s="398">
        <f>('Income Statement'!BJ18)/1000</f>
        <v>0</v>
      </c>
      <c r="AD30" s="398">
        <f>('Income Statement'!BK18)/1000</f>
        <v>0</v>
      </c>
      <c r="AE30" s="398">
        <f>('Income Statement'!BL18)/1000</f>
        <v>0</v>
      </c>
      <c r="AF30" s="398">
        <f>('Income Statement'!BM18)/1000</f>
        <v>0</v>
      </c>
      <c r="AG30" s="398">
        <f>('Income Statement'!BN18)/1000</f>
        <v>0</v>
      </c>
      <c r="AH30" s="398">
        <f>('Income Statement'!BO18)/1000</f>
        <v>0</v>
      </c>
      <c r="AI30" s="398">
        <f>('Income Statement'!BP18)/1000</f>
        <v>0</v>
      </c>
      <c r="AJ30" s="398">
        <f>('Income Statement'!BQ18)/1000</f>
        <v>0</v>
      </c>
      <c r="AK30" s="398">
        <f>('Income Statement'!BR18)/1000</f>
        <v>0</v>
      </c>
      <c r="AL30" s="398">
        <f>('Income Statement'!BS18)/1000</f>
        <v>0</v>
      </c>
      <c r="AM30" s="398">
        <f>('Income Statement'!BT18)/1000</f>
        <v>0</v>
      </c>
      <c r="AN30" s="398">
        <f>('Income Statement'!BU18)/1000</f>
        <v>0</v>
      </c>
      <c r="AO30" s="398">
        <f>('Income Statement'!BV18)/1000</f>
        <v>0</v>
      </c>
      <c r="AP30" s="398">
        <f>('Income Statement'!BW18)/1000</f>
        <v>0</v>
      </c>
      <c r="AQ30" s="398">
        <f>('Income Statement'!BX18)/1000</f>
        <v>0</v>
      </c>
      <c r="AR30" s="398">
        <f>('Income Statement'!BY18)/1000</f>
        <v>62.309857792639988</v>
      </c>
      <c r="AS30" s="398">
        <f>('Income Statement'!BZ18)/1000</f>
        <v>58.972579878400005</v>
      </c>
      <c r="AT30" s="398">
        <f>('Income Statement'!CA18)/1000</f>
        <v>69.944617094386842</v>
      </c>
      <c r="AU30" s="398">
        <f>('Income Statement'!CB18)/1000</f>
        <v>67.244440647619953</v>
      </c>
      <c r="AV30" s="398">
        <f>('Income Statement'!CC18)/1000</f>
        <v>72.43710894900002</v>
      </c>
      <c r="AW30" s="398">
        <f>('Income Statement'!CD18)/1000</f>
        <v>67.038633818059949</v>
      </c>
      <c r="AX30" s="398">
        <f>('Income Statement'!CE18)/1000</f>
        <v>73.45353074923004</v>
      </c>
      <c r="AY30" s="398">
        <f>('Income Statement'!CF18)/1000</f>
        <v>81.317104023379969</v>
      </c>
      <c r="AZ30" s="398">
        <f>('Income Statement'!CG18)/1000</f>
        <v>87.293628639249178</v>
      </c>
      <c r="BA30" s="398">
        <f>('Income Statement'!CH18)/1000</f>
        <v>97.757445761339397</v>
      </c>
      <c r="BB30" s="398">
        <f>('Income Statement'!CI18)/1000</f>
        <v>96.759042549171951</v>
      </c>
      <c r="BC30" s="398">
        <f>('Income Statement'!CJ18)/1000</f>
        <v>91.564800330238469</v>
      </c>
      <c r="BD30" s="398">
        <f>('Income Statement'!CK18)/1000</f>
        <v>105.07723544666</v>
      </c>
      <c r="BE30" s="398">
        <f>('Income Statement'!CL18)/1000</f>
        <v>116.98985766347</v>
      </c>
      <c r="BF30" s="398">
        <f>('Income Statement'!CM18)/1000</f>
        <v>117.25483514170006</v>
      </c>
      <c r="BG30" s="399">
        <f>('Income Statement'!CN18)/1000</f>
        <v>127.67945516004984</v>
      </c>
      <c r="BH30" s="398">
        <f>('Income Statement'!CO18)/1000</f>
        <v>124.26553804582994</v>
      </c>
      <c r="BI30" s="398">
        <f>('Income Statement'!CP18)/1000</f>
        <v>146.56573384501996</v>
      </c>
      <c r="BJ30" s="398">
        <f>('Income Statement'!CQ18)/1000</f>
        <v>135.96463431835664</v>
      </c>
      <c r="BK30" s="398">
        <f>('Income Statement'!CR18)/1000</f>
        <v>129.37348484930581</v>
      </c>
      <c r="BL30" s="398">
        <f>('Income Statement'!CS18)/1000</f>
        <v>132.18899999999999</v>
      </c>
      <c r="BM30" s="398">
        <f>('Income Statement'!CT18)/1000</f>
        <v>140.839</v>
      </c>
      <c r="BN30" s="398">
        <f>('Income Statement'!CU18)/1000</f>
        <v>164.09700000000001</v>
      </c>
      <c r="BO30" s="398">
        <f>('Income Statement'!CV18)/1000</f>
        <v>187.94499999999999</v>
      </c>
      <c r="BP30" s="398">
        <f>('Income Statement'!CW18)/1000</f>
        <v>200.446</v>
      </c>
      <c r="BQ30" s="398">
        <f>('Income Statement'!CX18)/1000</f>
        <v>168.285</v>
      </c>
      <c r="BR30" s="398">
        <f>('Income Statement'!CY18)/1000</f>
        <v>197.90199999999999</v>
      </c>
      <c r="BS30" s="398">
        <f>('Income Statement'!CZ18)/1000</f>
        <v>207.16499999999999</v>
      </c>
      <c r="BT30" s="397">
        <f>('Income Statement'!DA18)/1000</f>
        <v>208.82232000000002</v>
      </c>
      <c r="BU30" s="397">
        <f>('Income Statement'!DB18)/1000</f>
        <v>210.91054320000001</v>
      </c>
      <c r="BV30" s="397">
        <f>('Income Statement'!DC18)/1000</f>
        <v>212.78886050804138</v>
      </c>
      <c r="BW30" s="397">
        <f>('Income Statement'!DD18)/1000</f>
        <v>214.63193154486819</v>
      </c>
      <c r="BX30" s="397">
        <f>('Income Statement'!DE18)/1000</f>
        <v>216.49096634426547</v>
      </c>
      <c r="BY30" s="397">
        <f>('Income Statement'!DF18)/1000</f>
        <v>218.26023097233301</v>
      </c>
      <c r="BZ30" s="397">
        <f>('Income Statement'!DG18)/1000</f>
        <v>220.0439548518741</v>
      </c>
      <c r="CA30" s="397">
        <f>('Income Statement'!DH18)/1000</f>
        <v>221.89608061411852</v>
      </c>
      <c r="CB30" s="397">
        <f>('Income Statement'!DI18)/1000</f>
        <v>223.76379585184512</v>
      </c>
      <c r="CC30" s="397">
        <f>('Income Statement'!DJ18)/1000</f>
        <v>225.64723178278803</v>
      </c>
      <c r="CD30" s="397">
        <f>('Income Statement'!DK18)/1000</f>
        <v>227.54652072915044</v>
      </c>
      <c r="CE30" s="397">
        <f>('Income Statement'!DL18)/1000</f>
        <v>229.46179612690105</v>
      </c>
      <c r="CF30" s="397">
        <f>('Income Statement'!DM18)/1000</f>
        <v>231.39319253514867</v>
      </c>
      <c r="CG30" s="397">
        <f>('Income Statement'!DN18)/1000</f>
        <v>233.34084564559575</v>
      </c>
      <c r="CH30" s="397">
        <f>('Income Statement'!DO18)/1000</f>
        <v>235.3048922920716</v>
      </c>
      <c r="CI30" s="397">
        <f>('Income Statement'!DP18)/1000</f>
        <v>237.28547046014566</v>
      </c>
      <c r="CJ30" s="397">
        <f>('Income Statement'!DQ18)/1000</f>
        <v>239.28271929682177</v>
      </c>
      <c r="CK30" s="397">
        <f>('Income Statement'!DR18)/1000</f>
        <v>241.2967791203142</v>
      </c>
      <c r="CL30" s="397">
        <f>('Income Statement'!DS18)/1000</f>
        <v>243.3277914299056</v>
      </c>
      <c r="CM30" s="397">
        <f>('Income Statement'!DT18)/1000</f>
        <v>245.37589891588831</v>
      </c>
      <c r="CN30" s="397">
        <f>('Income Statement'!DU18)/1000</f>
        <v>247.44124546958903</v>
      </c>
      <c r="CO30" s="397">
        <f>('Income Statement'!DV18)/1000</f>
        <v>249.52397619347818</v>
      </c>
      <c r="CP30" s="397">
        <f>('Income Statement'!DW18)/1000</f>
        <v>251.62423741136399</v>
      </c>
      <c r="CQ30" s="397">
        <f>('Income Statement'!DX18)/1000</f>
        <v>253.74217667867271</v>
      </c>
    </row>
    <row r="31" spans="1:95" s="325" customFormat="1" ht="11.25" customHeight="1">
      <c r="A31" s="407" t="s">
        <v>370</v>
      </c>
      <c r="B31" s="402">
        <f>('Income Statement'!G19)/1000</f>
        <v>0</v>
      </c>
      <c r="C31" s="402">
        <f>('Income Statement'!H19)/1000</f>
        <v>0</v>
      </c>
      <c r="D31" s="402">
        <f>('Income Statement'!I19)/1000</f>
        <v>0</v>
      </c>
      <c r="E31" s="402">
        <f>('Income Statement'!J19)/1000</f>
        <v>0</v>
      </c>
      <c r="F31" s="402">
        <f>('Income Statement'!K19)/1000</f>
        <v>0</v>
      </c>
      <c r="G31" s="402">
        <f>('Income Statement'!L19)/1000</f>
        <v>0</v>
      </c>
      <c r="H31" s="402">
        <f>('Income Statement'!M19)/1000</f>
        <v>0</v>
      </c>
      <c r="I31" s="402">
        <f>('Income Statement'!N19)/1000</f>
        <v>340.74631661412002</v>
      </c>
      <c r="J31" s="402">
        <f>('Income Statement'!O19)/1000</f>
        <v>235.86503831669998</v>
      </c>
      <c r="K31" s="402">
        <f>('Income Statement'!P19)/1000</f>
        <v>147.58995669712002</v>
      </c>
      <c r="L31" s="402">
        <f>('Income Statement'!Q19)/1000</f>
        <v>295.24662919182458</v>
      </c>
      <c r="M31" s="402">
        <f>('Income Statement'!R19)/1000</f>
        <v>81.902480294550102</v>
      </c>
      <c r="N31" s="402">
        <f>('Income Statement'!S19)/1000</f>
        <v>205.642</v>
      </c>
      <c r="O31" s="402">
        <f>('Income Statement'!T19)/1000</f>
        <v>-23.880055555555561</v>
      </c>
      <c r="P31" s="401">
        <f>('Income Statement'!U19)/1000</f>
        <v>258.3710846241857</v>
      </c>
      <c r="Q31" s="401">
        <f>('Income Statement'!V19)/1000</f>
        <v>290.26724720373136</v>
      </c>
      <c r="R31" s="401">
        <f>('Income Statement'!W19)/1000</f>
        <v>298.91213342046245</v>
      </c>
      <c r="S31" s="401">
        <f>('Income Statement'!X19)/1000</f>
        <v>307.8794974230762</v>
      </c>
      <c r="T31" s="401">
        <f>('Income Statement'!Y19)/1000</f>
        <v>317.1158823457684</v>
      </c>
      <c r="U31" s="401">
        <f>('Income Statement'!Z19)/1000</f>
        <v>326.62935881614135</v>
      </c>
      <c r="V31" s="323"/>
      <c r="W31" s="407" t="s">
        <v>369</v>
      </c>
      <c r="X31" s="398">
        <f>('Income Statement'!BE19)/1000</f>
        <v>0</v>
      </c>
      <c r="Y31" s="398">
        <f>('Income Statement'!BF19)/1000</f>
        <v>0</v>
      </c>
      <c r="Z31" s="398">
        <f>('Income Statement'!BG19)/1000</f>
        <v>0</v>
      </c>
      <c r="AA31" s="398">
        <f>('Income Statement'!BH19)/1000</f>
        <v>0</v>
      </c>
      <c r="AB31" s="398">
        <f>('Income Statement'!BI19)/1000</f>
        <v>0</v>
      </c>
      <c r="AC31" s="398">
        <f>('Income Statement'!BJ19)/1000</f>
        <v>0</v>
      </c>
      <c r="AD31" s="398">
        <f>('Income Statement'!BK19)/1000</f>
        <v>0</v>
      </c>
      <c r="AE31" s="398">
        <f>('Income Statement'!BL19)/1000</f>
        <v>0</v>
      </c>
      <c r="AF31" s="398">
        <f>('Income Statement'!BM19)/1000</f>
        <v>0</v>
      </c>
      <c r="AG31" s="398">
        <f>('Income Statement'!BN19)/1000</f>
        <v>0</v>
      </c>
      <c r="AH31" s="398">
        <f>('Income Statement'!BO19)/1000</f>
        <v>0</v>
      </c>
      <c r="AI31" s="398">
        <f>('Income Statement'!BP19)/1000</f>
        <v>0</v>
      </c>
      <c r="AJ31" s="398">
        <f>('Income Statement'!BQ19)/1000</f>
        <v>0</v>
      </c>
      <c r="AK31" s="398">
        <f>('Income Statement'!BR19)/1000</f>
        <v>0</v>
      </c>
      <c r="AL31" s="398">
        <f>('Income Statement'!BS19)/1000</f>
        <v>0</v>
      </c>
      <c r="AM31" s="398">
        <f>('Income Statement'!BT19)/1000</f>
        <v>0</v>
      </c>
      <c r="AN31" s="398">
        <f>('Income Statement'!BU19)/1000</f>
        <v>0</v>
      </c>
      <c r="AO31" s="398">
        <f>('Income Statement'!BV19)/1000</f>
        <v>0</v>
      </c>
      <c r="AP31" s="398">
        <f>('Income Statement'!BW19)/1000</f>
        <v>0</v>
      </c>
      <c r="AQ31" s="398">
        <f>('Income Statement'!BX19)/1000</f>
        <v>0</v>
      </c>
      <c r="AR31" s="398">
        <f>('Income Statement'!BY19)/1000</f>
        <v>147.60956158364999</v>
      </c>
      <c r="AS31" s="398">
        <f>('Income Statement'!BZ19)/1000</f>
        <v>113.79210744194002</v>
      </c>
      <c r="AT31" s="398">
        <f>('Income Statement'!CA19)/1000</f>
        <v>47.618857309109941</v>
      </c>
      <c r="AU31" s="398">
        <f>('Income Statement'!CB19)/1000</f>
        <v>31.725790279420092</v>
      </c>
      <c r="AV31" s="398">
        <f>('Income Statement'!CC19)/1000</f>
        <v>19.989904813080013</v>
      </c>
      <c r="AW31" s="398">
        <f>('Income Statement'!CD19)/1000</f>
        <v>107.57711203895995</v>
      </c>
      <c r="AX31" s="398">
        <f>('Income Statement'!CE19)/1000</f>
        <v>78.152048553419831</v>
      </c>
      <c r="AY31" s="398">
        <f>('Income Statement'!CF19)/1000</f>
        <v>30.145972911240182</v>
      </c>
      <c r="AZ31" s="398">
        <f>('Income Statement'!CG19)/1000</f>
        <v>51.72844822174001</v>
      </c>
      <c r="BA31" s="398">
        <f>('Income Statement'!CH19)/1000</f>
        <v>18.051686850529993</v>
      </c>
      <c r="BB31" s="398">
        <f>('Income Statement'!CI19)/1000</f>
        <v>35.785113660220041</v>
      </c>
      <c r="BC31" s="398">
        <f>('Income Statement'!CJ19)/1000</f>
        <v>42.024707964629968</v>
      </c>
      <c r="BD31" s="398">
        <f>('Income Statement'!CK19)/1000</f>
        <v>79.660238351190031</v>
      </c>
      <c r="BE31" s="398">
        <f>('Income Statement'!CL19)/1000</f>
        <v>42.744974816190179</v>
      </c>
      <c r="BF31" s="398">
        <f>('Income Statement'!CM19)/1000</f>
        <v>83.679769974500161</v>
      </c>
      <c r="BG31" s="399">
        <f>('Income Statement'!CN19)/1000</f>
        <v>89.161646049944224</v>
      </c>
      <c r="BH31" s="398">
        <f>('Income Statement'!CO19)/1000</f>
        <v>60.361829672840003</v>
      </c>
      <c r="BI31" s="398">
        <f>('Income Statement'!CP19)/1000</f>
        <v>-35.045887342292701</v>
      </c>
      <c r="BJ31" s="398">
        <f>('Income Statement'!CQ19)/1000</f>
        <v>28.239576966218507</v>
      </c>
      <c r="BK31" s="398">
        <f>('Income Statement'!CR19)/1000</f>
        <v>28.346960997784294</v>
      </c>
      <c r="BL31" s="398">
        <f>('Income Statement'!CS19)/1000</f>
        <v>42.417999999999999</v>
      </c>
      <c r="BM31" s="398">
        <f>('Income Statement'!CT19)/1000</f>
        <v>56.103000000000002</v>
      </c>
      <c r="BN31" s="398">
        <f>('Income Statement'!CU19)/1000</f>
        <v>75.591999999999999</v>
      </c>
      <c r="BO31" s="398">
        <f>('Income Statement'!CV19)/1000</f>
        <v>31.529</v>
      </c>
      <c r="BP31" s="398">
        <f>('Income Statement'!CW19)/1000</f>
        <v>24.885999999999999</v>
      </c>
      <c r="BQ31" s="398">
        <f>('Income Statement'!CX19)/1000</f>
        <v>20.742999999999999</v>
      </c>
      <c r="BR31" s="398">
        <f>('Income Statement'!CY19)/1000</f>
        <v>-52.69305555555556</v>
      </c>
      <c r="BS31" s="398">
        <f>('Income Statement'!CZ19)/1000</f>
        <v>-16.815999999999999</v>
      </c>
      <c r="BT31" s="397">
        <f>('Income Statement'!DA19)/1000</f>
        <v>46.353395244203803</v>
      </c>
      <c r="BU31" s="397">
        <f>('Income Statement'!DB19)/1000</f>
        <v>70.108331070534788</v>
      </c>
      <c r="BV31" s="397">
        <f>('Income Statement'!DC19)/1000</f>
        <v>70.679624214274497</v>
      </c>
      <c r="BW31" s="397">
        <f>('Income Statement'!DD19)/1000</f>
        <v>71.229734095172617</v>
      </c>
      <c r="BX31" s="397">
        <f>('Income Statement'!DE19)/1000</f>
        <v>71.775460810575069</v>
      </c>
      <c r="BY31" s="397">
        <f>('Income Statement'!DF19)/1000</f>
        <v>72.307751190737974</v>
      </c>
      <c r="BZ31" s="397">
        <f>('Income Statement'!DG19)/1000</f>
        <v>72.82637593283863</v>
      </c>
      <c r="CA31" s="397">
        <f>('Income Statement'!DH19)/1000</f>
        <v>73.357659269579685</v>
      </c>
      <c r="CB31" s="397">
        <f>('Income Statement'!DI19)/1000</f>
        <v>73.901758293828635</v>
      </c>
      <c r="CC31" s="397">
        <f>('Income Statement'!DJ19)/1000</f>
        <v>74.449892939594619</v>
      </c>
      <c r="CD31" s="397">
        <f>('Income Statement'!DK19)/1000</f>
        <v>75.002093139372121</v>
      </c>
      <c r="CE31" s="397">
        <f>('Income Statement'!DL19)/1000</f>
        <v>75.558389047667049</v>
      </c>
      <c r="CF31" s="397">
        <f>('Income Statement'!DM19)/1000</f>
        <v>76.118811042643458</v>
      </c>
      <c r="CG31" s="397">
        <f>('Income Statement'!DN19)/1000</f>
        <v>76.683389727782426</v>
      </c>
      <c r="CH31" s="397">
        <f>('Income Statement'!DO19)/1000</f>
        <v>77.252155933553254</v>
      </c>
      <c r="CI31" s="397">
        <f>('Income Statement'!DP19)/1000</f>
        <v>77.825140719097021</v>
      </c>
      <c r="CJ31" s="397">
        <f>('Income Statement'!DQ19)/1000</f>
        <v>78.402375373922737</v>
      </c>
      <c r="CK31" s="397">
        <f>('Income Statement'!DR19)/1000</f>
        <v>78.983891419615887</v>
      </c>
      <c r="CL31" s="397">
        <f>('Income Statement'!DS19)/1000</f>
        <v>79.569720611559831</v>
      </c>
      <c r="CM31" s="397">
        <f>('Income Statement'!DT19)/1000</f>
        <v>80.159894940669929</v>
      </c>
      <c r="CN31" s="397">
        <f>('Income Statement'!DU19)/1000</f>
        <v>80.754446635140383</v>
      </c>
      <c r="CO31" s="397">
        <f>('Income Statement'!DV19)/1000</f>
        <v>81.353408162204332</v>
      </c>
      <c r="CP31" s="397">
        <f>('Income Statement'!DW19)/1000</f>
        <v>81.956812229906603</v>
      </c>
      <c r="CQ31" s="397">
        <f>('Income Statement'!DX19)/1000</f>
        <v>82.564691788889988</v>
      </c>
    </row>
    <row r="32" spans="1:95" s="325" customFormat="1" ht="11.25" customHeight="1">
      <c r="A32" s="407" t="s">
        <v>368</v>
      </c>
      <c r="B32" s="398">
        <f>SUM('Income Statement'!G40:G41)/1000</f>
        <v>0</v>
      </c>
      <c r="C32" s="398">
        <f>SUM('Income Statement'!H31:H31,'Income Statement'!H20)/1000</f>
        <v>0</v>
      </c>
      <c r="D32" s="398">
        <f>SUM('Income Statement'!I31:I31,'Income Statement'!I20)/1000</f>
        <v>0</v>
      </c>
      <c r="E32" s="398">
        <f>SUM('Income Statement'!J31:J31,'Income Statement'!J20)/1000</f>
        <v>0</v>
      </c>
      <c r="F32" s="398">
        <f>SUM('Income Statement'!K31:K31,'Income Statement'!K20)/1000</f>
        <v>0</v>
      </c>
      <c r="G32" s="398">
        <f>SUM('Income Statement'!L31:L31,'Income Statement'!L20)/1000</f>
        <v>0</v>
      </c>
      <c r="H32" s="398">
        <f>SUM('Income Statement'!M31:M31,'Income Statement'!M20)/1000</f>
        <v>0</v>
      </c>
      <c r="I32" s="398">
        <f>SUM('Income Statement'!N31:N31,'Income Statement'!N20)/1000</f>
        <v>-245.55191300263996</v>
      </c>
      <c r="J32" s="398">
        <f>SUM('Income Statement'!O31:O31,'Income Statement'!O20)/1000</f>
        <v>-204.98790733772006</v>
      </c>
      <c r="K32" s="398">
        <f>SUM('Income Statement'!P31:P31,'Income Statement'!P20)/1000</f>
        <v>-55.926652426879997</v>
      </c>
      <c r="L32" s="398">
        <f>SUM('Income Statement'!Q31:Q31,'Income Statement'!Q20)/1000</f>
        <v>-18.885163208770042</v>
      </c>
      <c r="M32" s="398">
        <f>SUM('Income Statement'!R31:R31,'Income Statement'!R20)/1000</f>
        <v>-64.153792939603093</v>
      </c>
      <c r="N32" s="398">
        <f>SUM('Income Statement'!S31:S31,'Income Statement'!S20)/1000</f>
        <v>-64.194999999999993</v>
      </c>
      <c r="O32" s="398">
        <f>SUM('Income Statement'!T31:T31,'Income Statement'!T20)/1000</f>
        <v>186.41</v>
      </c>
      <c r="P32" s="397">
        <f>SUM('Income Statement'!U31:U31,'Income Statement'!U20)/1000</f>
        <v>178.09094771632093</v>
      </c>
      <c r="Q32" s="397">
        <f>SUM('Income Statement'!V31:V31,'Income Statement'!V20)/1000</f>
        <v>185.65162634145287</v>
      </c>
      <c r="R32" s="397">
        <f>SUM('Income Statement'!W31:W31,'Income Statement'!W20)/1000</f>
        <v>193.04136364581674</v>
      </c>
      <c r="S32" s="397">
        <f>SUM('Income Statement'!X31:X31,'Income Statement'!X20)/1000</f>
        <v>200.66218779475184</v>
      </c>
      <c r="T32" s="397">
        <f>SUM('Income Statement'!Y31:Y31,'Income Statement'!Y20)/1000</f>
        <v>207.87596471384734</v>
      </c>
      <c r="U32" s="397">
        <f>SUM('Income Statement'!Z31:Z31,'Income Statement'!Z20)/1000</f>
        <v>214.04175299366122</v>
      </c>
      <c r="V32" s="323"/>
      <c r="W32" s="407" t="s">
        <v>368</v>
      </c>
      <c r="X32" s="398">
        <f>SUM('Income Statement'!BE40:BE41)/1000</f>
        <v>0</v>
      </c>
      <c r="Y32" s="398">
        <f>SUM('Income Statement'!BF40:BF41)/1000</f>
        <v>0</v>
      </c>
      <c r="Z32" s="398">
        <f>SUM('Income Statement'!BG40:BG41)/1000</f>
        <v>0</v>
      </c>
      <c r="AA32" s="398">
        <f>SUM('Income Statement'!BH40:BH41)/1000</f>
        <v>0</v>
      </c>
      <c r="AB32" s="398">
        <f>SUM('Income Statement'!BI40:BI41)/1000</f>
        <v>0</v>
      </c>
      <c r="AC32" s="398">
        <f>SUM('Income Statement'!BJ40:BJ41)/1000</f>
        <v>0</v>
      </c>
      <c r="AD32" s="398">
        <f>SUM('Income Statement'!BK40:BK41)/1000</f>
        <v>0</v>
      </c>
      <c r="AE32" s="398">
        <f>SUM('Income Statement'!BL40:BL41)/1000</f>
        <v>0</v>
      </c>
      <c r="AF32" s="398">
        <f>SUM('Income Statement'!BM31:BM31,'Income Statement'!BM20)/1000</f>
        <v>0</v>
      </c>
      <c r="AG32" s="398">
        <f>SUM('Income Statement'!BN31:BN31,'Income Statement'!BN20)/1000</f>
        <v>0</v>
      </c>
      <c r="AH32" s="398">
        <f>SUM('Income Statement'!BO31:BO31,'Income Statement'!BO20)/1000</f>
        <v>0</v>
      </c>
      <c r="AI32" s="398">
        <f>SUM('Income Statement'!BP31:BP31,'Income Statement'!BP20)/1000</f>
        <v>0</v>
      </c>
      <c r="AJ32" s="398">
        <f>SUM('Income Statement'!BQ31:BQ31,'Income Statement'!BQ20)/1000</f>
        <v>0</v>
      </c>
      <c r="AK32" s="398">
        <f>SUM('Income Statement'!BR31:BR31,'Income Statement'!BR20)/1000</f>
        <v>0</v>
      </c>
      <c r="AL32" s="398">
        <f>SUM('Income Statement'!BS31:BS31,'Income Statement'!BS20)/1000</f>
        <v>0</v>
      </c>
      <c r="AM32" s="398">
        <f>SUM('Income Statement'!BT31:BT31,'Income Statement'!BT20)/1000</f>
        <v>0</v>
      </c>
      <c r="AN32" s="398">
        <f>SUM('Income Statement'!BU31:BU31,'Income Statement'!BU20)/1000</f>
        <v>0</v>
      </c>
      <c r="AO32" s="398">
        <f>SUM('Income Statement'!BV31:BV31,'Income Statement'!BV20)/1000</f>
        <v>0</v>
      </c>
      <c r="AP32" s="398">
        <f>SUM('Income Statement'!BW31:BW31,'Income Statement'!BW20)/1000</f>
        <v>0</v>
      </c>
      <c r="AQ32" s="398">
        <f>SUM('Income Statement'!BX31:BX31,'Income Statement'!BX20)/1000</f>
        <v>0</v>
      </c>
      <c r="AR32" s="398">
        <f>SUM('Income Statement'!BY31:BY31,'Income Statement'!BY20)/1000</f>
        <v>-80.131636210999986</v>
      </c>
      <c r="AS32" s="398">
        <f>SUM('Income Statement'!BZ31:BZ31,'Income Statement'!BZ20)/1000</f>
        <v>-27.305354841570047</v>
      </c>
      <c r="AT32" s="398">
        <f>SUM('Income Statement'!CA31:CA31,'Income Statement'!CA20)/1000</f>
        <v>-65.919033286849938</v>
      </c>
      <c r="AU32" s="398">
        <f>SUM('Income Statement'!CB31:CB31,'Income Statement'!CB20)/1000</f>
        <v>-72.195888663219961</v>
      </c>
      <c r="AV32" s="398">
        <f>SUM('Income Statement'!CC31:CC31,'Income Statement'!CC20)/1000</f>
        <v>-40.114194192300012</v>
      </c>
      <c r="AW32" s="398">
        <f>SUM('Income Statement'!CD31:CD31,'Income Statement'!CD20)/1000</f>
        <v>-51.718378840620005</v>
      </c>
      <c r="AX32" s="398">
        <f>SUM('Income Statement'!CE31:CE31,'Income Statement'!CE20)/1000</f>
        <v>-56.127373543439994</v>
      </c>
      <c r="AY32" s="398">
        <f>SUM('Income Statement'!CF31:CF31,'Income Statement'!CF20)/1000</f>
        <v>-57.027960761360063</v>
      </c>
      <c r="AZ32" s="398">
        <f>SUM('Income Statement'!CG31:CG31,'Income Statement'!CG20)/1000</f>
        <v>-14.587661802380007</v>
      </c>
      <c r="BA32" s="398">
        <f>SUM('Income Statement'!CH31:CH31,'Income Statement'!CH20)/1000</f>
        <v>-23.212810763309989</v>
      </c>
      <c r="BB32" s="398">
        <f>SUM('Income Statement'!CI31:CI31,'Income Statement'!CI20)/1000</f>
        <v>-17.227285315970036</v>
      </c>
      <c r="BC32" s="398">
        <f>SUM('Income Statement'!CJ31:CJ31,'Income Statement'!CJ20)/1000</f>
        <v>-0.89889454521997325</v>
      </c>
      <c r="BD32" s="398">
        <f>SUM('Income Statement'!CK31:CK31,'Income Statement'!CK20)/1000</f>
        <v>-11.222062746620006</v>
      </c>
      <c r="BE32" s="398">
        <f>SUM('Income Statement'!CL31:CL31,'Income Statement'!CL20)/1000</f>
        <v>18.407517363640007</v>
      </c>
      <c r="BF32" s="398">
        <f>SUM('Income Statement'!CM31:CM31,'Income Statement'!CM20)/1000</f>
        <v>-9.9228944750399783</v>
      </c>
      <c r="BG32" s="399">
        <f>SUM('Income Statement'!CN31:CN31,'Income Statement'!CN20)/1000</f>
        <v>-16.147723350750066</v>
      </c>
      <c r="BH32" s="398">
        <f>SUM('Income Statement'!CO31:CO31,'Income Statement'!CO20)/1000</f>
        <v>14.753439770570024</v>
      </c>
      <c r="BI32" s="398">
        <f>SUM('Income Statement'!CP31:CP31,'Income Statement'!CP20)/1000</f>
        <v>-15.828194408583116</v>
      </c>
      <c r="BJ32" s="398">
        <f>SUM('Income Statement'!CQ31:CQ31,'Income Statement'!CQ20)/1000</f>
        <v>18.395444644027563</v>
      </c>
      <c r="BK32" s="398">
        <f>SUM('Income Statement'!CR31:CR31,'Income Statement'!CR20)/1000</f>
        <v>-81.474482945617567</v>
      </c>
      <c r="BL32" s="398">
        <f>SUM('Income Statement'!CS31:CS31,'Income Statement'!CS20)/1000</f>
        <v>9.5410000000000004</v>
      </c>
      <c r="BM32" s="398">
        <f>SUM('Income Statement'!CT31:CT31,'Income Statement'!CT20)/1000</f>
        <v>48.874000000000002</v>
      </c>
      <c r="BN32" s="398">
        <f>SUM('Income Statement'!CU31:CU31,'Income Statement'!CU20)/1000</f>
        <v>-28.733000000000001</v>
      </c>
      <c r="BO32" s="398">
        <f>SUM('Income Statement'!CV31:CV31,'Income Statement'!CV20)/1000</f>
        <v>-93.876999999999995</v>
      </c>
      <c r="BP32" s="398">
        <f>SUM('Income Statement'!CW31:CW31,'Income Statement'!CW20)/1000</f>
        <v>147.35400000000001</v>
      </c>
      <c r="BQ32" s="398">
        <f>SUM('Income Statement'!CX31:CX31,'Income Statement'!CX20)/1000</f>
        <v>-17.785</v>
      </c>
      <c r="BR32" s="398">
        <f>SUM('Income Statement'!CY31:CY31,'Income Statement'!CY20)/1000</f>
        <v>13.096</v>
      </c>
      <c r="BS32" s="398">
        <f>SUM('Income Statement'!CZ31:CZ31,'Income Statement'!CZ20)/1000</f>
        <v>43.744999999999997</v>
      </c>
      <c r="BT32" s="397">
        <f>SUM('Income Statement'!DA31:DA31,'Income Statement'!DA20)/1000</f>
        <v>43.838862729116833</v>
      </c>
      <c r="BU32" s="397">
        <f>SUM('Income Statement'!DB31:DB31,'Income Statement'!DB20)/1000</f>
        <v>44.186393858784619</v>
      </c>
      <c r="BV32" s="397">
        <f>SUM('Income Statement'!DC31:DC31,'Income Statement'!DC20)/1000</f>
        <v>44.778055074883852</v>
      </c>
      <c r="BW32" s="397">
        <f>SUM('Income Statement'!DD31:DD31,'Income Statement'!DD20)/1000</f>
        <v>45.287636053535621</v>
      </c>
      <c r="BX32" s="397">
        <f>SUM('Income Statement'!DE31:DE31,'Income Statement'!DE20)/1000</f>
        <v>45.806972501525365</v>
      </c>
      <c r="BY32" s="397">
        <f>SUM('Income Statement'!DF31:DF31,'Income Statement'!DF20)/1000</f>
        <v>46.197748191132789</v>
      </c>
      <c r="BZ32" s="397">
        <f>SUM('Income Statement'!DG31:DG31,'Income Statement'!DG20)/1000</f>
        <v>46.596364039736869</v>
      </c>
      <c r="CA32" s="397">
        <f>SUM('Income Statement'!DH31:DH31,'Income Statement'!DH20)/1000</f>
        <v>47.050541609057852</v>
      </c>
      <c r="CB32" s="397">
        <f>SUM('Income Statement'!DI31:DI31,'Income Statement'!DI20)/1000</f>
        <v>47.555701655603634</v>
      </c>
      <c r="CC32" s="397">
        <f>SUM('Income Statement'!DJ31:DJ31,'Income Statement'!DJ20)/1000</f>
        <v>48.020250562173608</v>
      </c>
      <c r="CD32" s="397">
        <f>SUM('Income Statement'!DK31:DK31,'Income Statement'!DK20)/1000</f>
        <v>48.492274443311331</v>
      </c>
      <c r="CE32" s="397">
        <f>SUM('Income Statement'!DL31:DL31,'Income Statement'!DL20)/1000</f>
        <v>48.9731369847282</v>
      </c>
      <c r="CF32" s="397">
        <f>SUM('Income Statement'!DM31:DM31,'Income Statement'!DM20)/1000</f>
        <v>49.483726117821845</v>
      </c>
      <c r="CG32" s="397">
        <f>SUM('Income Statement'!DN31:DN31,'Income Statement'!DN20)/1000</f>
        <v>49.93241985931261</v>
      </c>
      <c r="CH32" s="397">
        <f>SUM('Income Statement'!DO31:DO31,'Income Statement'!DO20)/1000</f>
        <v>50.39298970842335</v>
      </c>
      <c r="CI32" s="397">
        <f>SUM('Income Statement'!DP31:DP31,'Income Statement'!DP20)/1000</f>
        <v>50.853052109194039</v>
      </c>
      <c r="CJ32" s="397">
        <f>SUM('Income Statement'!DQ31:DQ31,'Income Statement'!DQ20)/1000</f>
        <v>51.346723151860708</v>
      </c>
      <c r="CK32" s="397">
        <f>SUM('Income Statement'!DR31:DR31,'Income Statement'!DR20)/1000</f>
        <v>51.760514496784225</v>
      </c>
      <c r="CL32" s="397">
        <f>SUM('Income Statement'!DS31:DS31,'Income Statement'!DS20)/1000</f>
        <v>52.198750121182968</v>
      </c>
      <c r="CM32" s="397">
        <f>SUM('Income Statement'!DT31:DT31,'Income Statement'!DT20)/1000</f>
        <v>52.569976944019452</v>
      </c>
      <c r="CN32" s="397">
        <f>SUM('Income Statement'!DU31:DU31,'Income Statement'!DU20)/1000</f>
        <v>53.002800344138549</v>
      </c>
      <c r="CO32" s="397">
        <f>SUM('Income Statement'!DV31:DV31,'Income Statement'!DV20)/1000</f>
        <v>53.340609055246709</v>
      </c>
      <c r="CP32" s="397">
        <f>SUM('Income Statement'!DW31:DW31,'Income Statement'!DW20)/1000</f>
        <v>53.702778609941184</v>
      </c>
      <c r="CQ32" s="397">
        <f>SUM('Income Statement'!DX31:DX31,'Income Statement'!DX20)/1000</f>
        <v>53.995564984334791</v>
      </c>
    </row>
    <row r="33" spans="1:95" s="325" customFormat="1" ht="3.75" customHeight="1">
      <c r="A33" s="407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405"/>
      <c r="Q33" s="405"/>
      <c r="R33" s="405"/>
      <c r="S33" s="405"/>
      <c r="T33" s="405"/>
      <c r="U33" s="405"/>
      <c r="V33" s="323"/>
      <c r="W33" s="407"/>
      <c r="X33" s="377"/>
      <c r="Y33" s="377"/>
      <c r="Z33" s="377"/>
      <c r="AA33" s="377"/>
      <c r="AB33" s="377"/>
      <c r="AC33" s="377"/>
      <c r="AD33" s="377"/>
      <c r="AE33" s="377"/>
      <c r="AF33" s="377"/>
      <c r="AG33" s="377"/>
      <c r="AH33" s="377"/>
      <c r="AI33" s="377"/>
      <c r="AJ33" s="377"/>
      <c r="AK33" s="377"/>
      <c r="AL33" s="377"/>
      <c r="AM33" s="377"/>
      <c r="AN33" s="377"/>
      <c r="AO33" s="377"/>
      <c r="AP33" s="377"/>
      <c r="AQ33" s="377"/>
      <c r="AR33" s="377"/>
      <c r="AS33" s="377"/>
      <c r="AT33" s="377"/>
      <c r="AU33" s="377"/>
      <c r="AV33" s="377"/>
      <c r="AW33" s="377"/>
      <c r="AX33" s="377"/>
      <c r="AY33" s="377"/>
      <c r="AZ33" s="377"/>
      <c r="BA33" s="377"/>
      <c r="BB33" s="377"/>
      <c r="BC33" s="377"/>
      <c r="BD33" s="377"/>
      <c r="BE33" s="377"/>
      <c r="BF33" s="377"/>
      <c r="BG33" s="406"/>
      <c r="BH33" s="377"/>
      <c r="BI33" s="377"/>
      <c r="BJ33" s="377"/>
      <c r="BK33" s="377"/>
      <c r="BL33" s="377"/>
      <c r="BM33" s="377"/>
      <c r="BN33" s="377"/>
      <c r="BO33" s="377"/>
      <c r="BP33" s="377"/>
      <c r="BQ33" s="377"/>
      <c r="BR33" s="377"/>
      <c r="BS33" s="377"/>
      <c r="BT33" s="405"/>
      <c r="BU33" s="405"/>
      <c r="BV33" s="405"/>
      <c r="BW33" s="405"/>
      <c r="BX33" s="405"/>
      <c r="BY33" s="405"/>
      <c r="BZ33" s="405"/>
      <c r="CA33" s="405"/>
      <c r="CB33" s="405"/>
      <c r="CC33" s="405"/>
      <c r="CD33" s="405"/>
      <c r="CE33" s="405"/>
      <c r="CF33" s="405"/>
      <c r="CG33" s="405"/>
      <c r="CH33" s="405"/>
      <c r="CI33" s="405"/>
      <c r="CJ33" s="405"/>
      <c r="CK33" s="405"/>
      <c r="CL33" s="405"/>
      <c r="CM33" s="405"/>
      <c r="CN33" s="405"/>
      <c r="CO33" s="405"/>
      <c r="CP33" s="405"/>
      <c r="CQ33" s="405"/>
    </row>
    <row r="34" spans="1:95" s="325" customFormat="1" ht="11.25" customHeight="1">
      <c r="A34" s="403" t="s">
        <v>367</v>
      </c>
      <c r="B34" s="412">
        <f t="shared" ref="B34:S34" si="30">SUM(B24:B32)</f>
        <v>0</v>
      </c>
      <c r="C34" s="412">
        <f t="shared" si="30"/>
        <v>0</v>
      </c>
      <c r="D34" s="412">
        <f t="shared" si="30"/>
        <v>0</v>
      </c>
      <c r="E34" s="412">
        <f t="shared" si="30"/>
        <v>0</v>
      </c>
      <c r="F34" s="412">
        <f t="shared" si="30"/>
        <v>0</v>
      </c>
      <c r="G34" s="412">
        <f t="shared" si="30"/>
        <v>0</v>
      </c>
      <c r="H34" s="412">
        <f t="shared" si="30"/>
        <v>0</v>
      </c>
      <c r="I34" s="412">
        <f t="shared" si="30"/>
        <v>1952.298727461176</v>
      </c>
      <c r="J34" s="412">
        <f t="shared" si="30"/>
        <v>2243.4318020600695</v>
      </c>
      <c r="K34" s="412">
        <f t="shared" si="30"/>
        <v>2477.1234457822784</v>
      </c>
      <c r="L34" s="412">
        <f t="shared" si="30"/>
        <v>2599.3317482666848</v>
      </c>
      <c r="M34" s="412">
        <f t="shared" si="30"/>
        <v>2619.2430330701882</v>
      </c>
      <c r="N34" s="412">
        <f t="shared" si="30"/>
        <v>3381.8500000000008</v>
      </c>
      <c r="O34" s="412">
        <f t="shared" si="30"/>
        <v>4298.7959444444441</v>
      </c>
      <c r="P34" s="411">
        <f t="shared" ca="1" si="30"/>
        <v>4924.8386718348474</v>
      </c>
      <c r="Q34" s="411">
        <f t="shared" ca="1" si="30"/>
        <v>5705.0366905064411</v>
      </c>
      <c r="R34" s="411">
        <f t="shared" ca="1" si="30"/>
        <v>6682.6024716737511</v>
      </c>
      <c r="S34" s="411">
        <f t="shared" ca="1" si="30"/>
        <v>7687.4470712780503</v>
      </c>
      <c r="T34" s="411">
        <f t="shared" ref="T34:U34" ca="1" si="31">SUM(T24:T32)</f>
        <v>8922.9807443663667</v>
      </c>
      <c r="U34" s="411">
        <f t="shared" ca="1" si="31"/>
        <v>10367.995998710396</v>
      </c>
      <c r="V34" s="323"/>
      <c r="W34" s="403" t="s">
        <v>367</v>
      </c>
      <c r="X34" s="412">
        <f t="shared" ref="X34:BC34" si="32">SUM(X24:X32)</f>
        <v>0</v>
      </c>
      <c r="Y34" s="412">
        <f t="shared" si="32"/>
        <v>0</v>
      </c>
      <c r="Z34" s="412">
        <f t="shared" si="32"/>
        <v>0</v>
      </c>
      <c r="AA34" s="412">
        <f t="shared" si="32"/>
        <v>0</v>
      </c>
      <c r="AB34" s="412">
        <f t="shared" si="32"/>
        <v>0</v>
      </c>
      <c r="AC34" s="412">
        <f t="shared" si="32"/>
        <v>0</v>
      </c>
      <c r="AD34" s="412">
        <f t="shared" si="32"/>
        <v>0</v>
      </c>
      <c r="AE34" s="412">
        <f t="shared" si="32"/>
        <v>0</v>
      </c>
      <c r="AF34" s="412">
        <f t="shared" si="32"/>
        <v>0</v>
      </c>
      <c r="AG34" s="412">
        <f t="shared" si="32"/>
        <v>0</v>
      </c>
      <c r="AH34" s="412">
        <f t="shared" si="32"/>
        <v>0</v>
      </c>
      <c r="AI34" s="412">
        <f t="shared" si="32"/>
        <v>0</v>
      </c>
      <c r="AJ34" s="412">
        <f t="shared" si="32"/>
        <v>0</v>
      </c>
      <c r="AK34" s="412">
        <f t="shared" si="32"/>
        <v>0</v>
      </c>
      <c r="AL34" s="412">
        <f t="shared" si="32"/>
        <v>0</v>
      </c>
      <c r="AM34" s="412">
        <f t="shared" si="32"/>
        <v>0</v>
      </c>
      <c r="AN34" s="412">
        <f t="shared" si="32"/>
        <v>0</v>
      </c>
      <c r="AO34" s="412">
        <f t="shared" si="32"/>
        <v>0</v>
      </c>
      <c r="AP34" s="412">
        <f t="shared" si="32"/>
        <v>0</v>
      </c>
      <c r="AQ34" s="412">
        <f t="shared" si="32"/>
        <v>0</v>
      </c>
      <c r="AR34" s="412">
        <f t="shared" si="32"/>
        <v>513.05471178683013</v>
      </c>
      <c r="AS34" s="412">
        <f t="shared" si="32"/>
        <v>516.42393027936953</v>
      </c>
      <c r="AT34" s="412">
        <f t="shared" si="32"/>
        <v>480.36796492131447</v>
      </c>
      <c r="AU34" s="412">
        <f t="shared" si="32"/>
        <v>442.45212047366226</v>
      </c>
      <c r="AV34" s="412">
        <f t="shared" si="32"/>
        <v>469.94092388760021</v>
      </c>
      <c r="AW34" s="412">
        <f t="shared" si="32"/>
        <v>665.51343873129895</v>
      </c>
      <c r="AX34" s="412">
        <f t="shared" si="32"/>
        <v>599.83322409015022</v>
      </c>
      <c r="AY34" s="412">
        <f t="shared" si="32"/>
        <v>508.14421535102008</v>
      </c>
      <c r="AZ34" s="412">
        <f t="shared" si="32"/>
        <v>663.6445656193996</v>
      </c>
      <c r="BA34" s="412">
        <f t="shared" si="32"/>
        <v>579.52427059943898</v>
      </c>
      <c r="BB34" s="412">
        <f t="shared" si="32"/>
        <v>659.91271436873217</v>
      </c>
      <c r="BC34" s="412">
        <f t="shared" si="32"/>
        <v>574.04189519470788</v>
      </c>
      <c r="BD34" s="412">
        <f t="shared" ref="BD34:CI34" si="33">SUM(BD24:BD32)</f>
        <v>641.98534255261995</v>
      </c>
      <c r="BE34" s="412">
        <f t="shared" si="33"/>
        <v>634.75121385043133</v>
      </c>
      <c r="BF34" s="412">
        <f t="shared" si="33"/>
        <v>709.38545538799974</v>
      </c>
      <c r="BG34" s="413">
        <f t="shared" si="33"/>
        <v>613.20973647563437</v>
      </c>
      <c r="BH34" s="412">
        <f t="shared" si="33"/>
        <v>714.41486979788976</v>
      </c>
      <c r="BI34" s="412">
        <f t="shared" ref="BI34" si="34">SUM(BI24:BI32)</f>
        <v>553.21586056416436</v>
      </c>
      <c r="BJ34" s="412">
        <f t="shared" si="33"/>
        <v>730.76218412845651</v>
      </c>
      <c r="BK34" s="412">
        <f t="shared" si="33"/>
        <v>620.85011857967868</v>
      </c>
      <c r="BL34" s="412">
        <f t="shared" ref="BL34" si="35">SUM(BL24:BL32)</f>
        <v>833.99600000000021</v>
      </c>
      <c r="BM34" s="412">
        <f t="shared" si="33"/>
        <v>804.04099999999983</v>
      </c>
      <c r="BN34" s="412">
        <f t="shared" ref="BN34:BO34" si="36">SUM(BN24:BN32)</f>
        <v>931.13700000000017</v>
      </c>
      <c r="BO34" s="412">
        <f t="shared" si="36"/>
        <v>812.6759999999997</v>
      </c>
      <c r="BP34" s="412">
        <f t="shared" si="33"/>
        <v>1141.0359999999998</v>
      </c>
      <c r="BQ34" s="412">
        <f t="shared" si="33"/>
        <v>1049.3360000000005</v>
      </c>
      <c r="BR34" s="412">
        <f t="shared" ref="BR34:BS34" si="37">SUM(BR24:BR32)</f>
        <v>1044.0989444444442</v>
      </c>
      <c r="BS34" s="412">
        <f t="shared" si="37"/>
        <v>1064.3249999999994</v>
      </c>
      <c r="BT34" s="411">
        <f t="shared" ca="1" si="33"/>
        <v>1165.0101223133652</v>
      </c>
      <c r="BU34" s="411">
        <f t="shared" ca="1" si="33"/>
        <v>1196.2601499670538</v>
      </c>
      <c r="BV34" s="411">
        <f t="shared" ca="1" si="33"/>
        <v>1267.9333296941215</v>
      </c>
      <c r="BW34" s="411">
        <f t="shared" ca="1" si="33"/>
        <v>1295.6350698603094</v>
      </c>
      <c r="BX34" s="411">
        <f t="shared" ca="1" si="33"/>
        <v>1372.2237756899694</v>
      </c>
      <c r="BY34" s="411">
        <f t="shared" ca="1" si="33"/>
        <v>1415.9426149029368</v>
      </c>
      <c r="BZ34" s="411">
        <f t="shared" ca="1" si="33"/>
        <v>1446.1216731132047</v>
      </c>
      <c r="CA34" s="411">
        <f t="shared" ca="1" si="33"/>
        <v>1470.7486268003263</v>
      </c>
      <c r="CB34" s="411">
        <f t="shared" ca="1" si="33"/>
        <v>1567.0290849360965</v>
      </c>
      <c r="CC34" s="411">
        <f t="shared" ca="1" si="33"/>
        <v>1648.9818210078238</v>
      </c>
      <c r="CD34" s="411">
        <f t="shared" ca="1" si="33"/>
        <v>1708.9151389153221</v>
      </c>
      <c r="CE34" s="411">
        <f t="shared" ca="1" si="33"/>
        <v>1757.6764268145059</v>
      </c>
      <c r="CF34" s="411">
        <f t="shared" ca="1" si="33"/>
        <v>1864.6350792191247</v>
      </c>
      <c r="CG34" s="411">
        <f t="shared" ca="1" si="33"/>
        <v>1904.7470916901391</v>
      </c>
      <c r="CH34" s="411">
        <f t="shared" ca="1" si="33"/>
        <v>1948.2158823541611</v>
      </c>
      <c r="CI34" s="411">
        <f t="shared" ca="1" si="33"/>
        <v>1969.8490180146262</v>
      </c>
      <c r="CJ34" s="411">
        <f t="shared" ref="CJ34:CM34" ca="1" si="38">SUM(CJ24:CJ32)</f>
        <v>2128.0202211048836</v>
      </c>
      <c r="CK34" s="411">
        <f t="shared" ca="1" si="38"/>
        <v>2209.7867493862327</v>
      </c>
      <c r="CL34" s="411">
        <f t="shared" ca="1" si="38"/>
        <v>2278.3120720381366</v>
      </c>
      <c r="CM34" s="411">
        <f t="shared" ca="1" si="38"/>
        <v>2306.8617018371115</v>
      </c>
      <c r="CN34" s="411">
        <f t="shared" ref="CN34:CQ34" ca="1" si="39">SUM(CN24:CN32)</f>
        <v>2481.7465007584728</v>
      </c>
      <c r="CO34" s="411">
        <f t="shared" ca="1" si="39"/>
        <v>2571.6199222953692</v>
      </c>
      <c r="CP34" s="411">
        <f t="shared" ca="1" si="39"/>
        <v>2637.5298056056617</v>
      </c>
      <c r="CQ34" s="411">
        <f t="shared" ca="1" si="39"/>
        <v>2677.099770050896</v>
      </c>
    </row>
    <row r="35" spans="1:95" s="325" customFormat="1" ht="3.75" customHeight="1">
      <c r="A35" s="407"/>
      <c r="B35" s="377"/>
      <c r="C35" s="377"/>
      <c r="D35" s="377"/>
      <c r="E35" s="377"/>
      <c r="F35" s="377"/>
      <c r="G35" s="377"/>
      <c r="H35" s="377"/>
      <c r="I35" s="377"/>
      <c r="J35" s="377"/>
      <c r="K35" s="377"/>
      <c r="L35" s="377"/>
      <c r="M35" s="377"/>
      <c r="N35" s="377"/>
      <c r="O35" s="377"/>
      <c r="P35" s="405"/>
      <c r="Q35" s="405"/>
      <c r="R35" s="405"/>
      <c r="S35" s="405"/>
      <c r="T35" s="405"/>
      <c r="U35" s="405"/>
      <c r="V35" s="323"/>
      <c r="W35" s="407"/>
      <c r="X35" s="377"/>
      <c r="Y35" s="377"/>
      <c r="Z35" s="377"/>
      <c r="AA35" s="377"/>
      <c r="AB35" s="377"/>
      <c r="AC35" s="377"/>
      <c r="AD35" s="377"/>
      <c r="AE35" s="377"/>
      <c r="AF35" s="377"/>
      <c r="AG35" s="377"/>
      <c r="AH35" s="377"/>
      <c r="AI35" s="377"/>
      <c r="AJ35" s="377"/>
      <c r="AK35" s="377"/>
      <c r="AL35" s="377"/>
      <c r="AM35" s="377"/>
      <c r="AN35" s="377"/>
      <c r="AO35" s="377"/>
      <c r="AP35" s="377"/>
      <c r="AQ35" s="377"/>
      <c r="AR35" s="377"/>
      <c r="AS35" s="377"/>
      <c r="AT35" s="377"/>
      <c r="AU35" s="377"/>
      <c r="AV35" s="377"/>
      <c r="AW35" s="377"/>
      <c r="AX35" s="377"/>
      <c r="AY35" s="377"/>
      <c r="AZ35" s="377"/>
      <c r="BA35" s="377"/>
      <c r="BB35" s="377"/>
      <c r="BC35" s="377"/>
      <c r="BD35" s="377"/>
      <c r="BE35" s="377"/>
      <c r="BF35" s="377"/>
      <c r="BG35" s="406"/>
      <c r="BH35" s="377"/>
      <c r="BI35" s="377"/>
      <c r="BJ35" s="377"/>
      <c r="BK35" s="377"/>
      <c r="BL35" s="377"/>
      <c r="BM35" s="377"/>
      <c r="BN35" s="377"/>
      <c r="BO35" s="377"/>
      <c r="BP35" s="377"/>
      <c r="BQ35" s="377"/>
      <c r="BR35" s="377"/>
      <c r="BS35" s="377"/>
      <c r="BT35" s="405"/>
      <c r="BU35" s="405"/>
      <c r="BV35" s="405"/>
      <c r="BW35" s="405"/>
      <c r="BX35" s="405"/>
      <c r="BY35" s="405"/>
      <c r="BZ35" s="405"/>
      <c r="CA35" s="405"/>
      <c r="CB35" s="405"/>
      <c r="CC35" s="405"/>
      <c r="CD35" s="405"/>
      <c r="CE35" s="405"/>
      <c r="CF35" s="405"/>
      <c r="CG35" s="405"/>
      <c r="CH35" s="405"/>
      <c r="CI35" s="405"/>
      <c r="CJ35" s="405"/>
      <c r="CK35" s="405"/>
      <c r="CL35" s="405"/>
      <c r="CM35" s="405"/>
      <c r="CN35" s="405"/>
      <c r="CO35" s="405"/>
      <c r="CP35" s="405"/>
      <c r="CQ35" s="405"/>
    </row>
    <row r="36" spans="1:95" s="325" customFormat="1" ht="11.25" customHeight="1">
      <c r="A36" s="407" t="s">
        <v>366</v>
      </c>
      <c r="B36" s="402">
        <f>SUM('Income Statement'!G34:G34)/1000</f>
        <v>0</v>
      </c>
      <c r="C36" s="402">
        <f>SUM('Income Statement'!H34:H34)/1000</f>
        <v>0</v>
      </c>
      <c r="D36" s="402">
        <f>SUM('Income Statement'!I34:I34)/1000</f>
        <v>0</v>
      </c>
      <c r="E36" s="402">
        <f>SUM('Income Statement'!J34:J34)/1000</f>
        <v>0</v>
      </c>
      <c r="F36" s="402">
        <f>SUM('Income Statement'!K34:K34)/1000</f>
        <v>0</v>
      </c>
      <c r="G36" s="402">
        <f>SUM('Income Statement'!L34:L34)/1000</f>
        <v>0</v>
      </c>
      <c r="H36" s="402">
        <f>SUM('Income Statement'!M34:M34)/1000</f>
        <v>0</v>
      </c>
      <c r="I36" s="402">
        <f>SUM('Income Statement'!N34:N34)/1000</f>
        <v>34.250178983099985</v>
      </c>
      <c r="J36" s="402">
        <f>SUM('Income Statement'!O34:O34)/1000</f>
        <v>67.887119022350021</v>
      </c>
      <c r="K36" s="402">
        <f>SUM('Income Statement'!P34:P34)/1000</f>
        <v>102.12831630015999</v>
      </c>
      <c r="L36" s="402">
        <f>SUM('Income Statement'!Q34:Q34)/1000</f>
        <v>193.96506542744999</v>
      </c>
      <c r="M36" s="402">
        <f>SUM('Income Statement'!R34:R34)/1000</f>
        <v>-284.07205975156148</v>
      </c>
      <c r="N36" s="402">
        <f>SUM('Income Statement'!S34:S34)/1000</f>
        <v>0.43099999999999999</v>
      </c>
      <c r="O36" s="402">
        <f>SUM('Income Statement'!T34:T34)/1000</f>
        <v>18.34</v>
      </c>
      <c r="P36" s="401">
        <f ca="1">SUM('Income Statement'!U34:U34)/1000</f>
        <v>0</v>
      </c>
      <c r="Q36" s="401">
        <f ca="1">SUM('Income Statement'!V34:V34)/1000</f>
        <v>0</v>
      </c>
      <c r="R36" s="401">
        <f ca="1">SUM('Income Statement'!W34:W34)/1000</f>
        <v>0</v>
      </c>
      <c r="S36" s="401">
        <f ca="1">SUM('Income Statement'!X34:X34)/1000</f>
        <v>0</v>
      </c>
      <c r="T36" s="401">
        <f ca="1">SUM('Income Statement'!Y34:Y34)/1000</f>
        <v>0</v>
      </c>
      <c r="U36" s="401">
        <f ca="1">SUM('Income Statement'!Z34:Z34)/1000</f>
        <v>0</v>
      </c>
      <c r="V36" s="323"/>
      <c r="W36" s="407" t="s">
        <v>366</v>
      </c>
      <c r="X36" s="398">
        <f>('Income Statement'!BE46)/1000</f>
        <v>0</v>
      </c>
      <c r="Y36" s="398">
        <f>('Income Statement'!BF46)/1000</f>
        <v>0</v>
      </c>
      <c r="Z36" s="398">
        <f>('Income Statement'!BG46)/1000</f>
        <v>0</v>
      </c>
      <c r="AA36" s="398">
        <f>('Income Statement'!BH46)/1000</f>
        <v>0</v>
      </c>
      <c r="AB36" s="398">
        <f>('Income Statement'!BI46)/1000</f>
        <v>0</v>
      </c>
      <c r="AC36" s="398">
        <f>('Income Statement'!BJ46)/1000</f>
        <v>0</v>
      </c>
      <c r="AD36" s="398">
        <f>('Income Statement'!BK46)/1000</f>
        <v>0</v>
      </c>
      <c r="AE36" s="398">
        <f>('Income Statement'!BL46)/1000</f>
        <v>0</v>
      </c>
      <c r="AF36" s="398">
        <f>SUM('Income Statement'!BM34:BM34)/1000</f>
        <v>0</v>
      </c>
      <c r="AG36" s="398">
        <f>SUM('Income Statement'!BN34:BN34)/1000</f>
        <v>0</v>
      </c>
      <c r="AH36" s="398">
        <f>SUM('Income Statement'!BO34:BO34)/1000</f>
        <v>0</v>
      </c>
      <c r="AI36" s="398">
        <f>SUM('Income Statement'!BP34:BP34)/1000</f>
        <v>0</v>
      </c>
      <c r="AJ36" s="398">
        <f>SUM('Income Statement'!BQ34:BQ34)/1000</f>
        <v>0</v>
      </c>
      <c r="AK36" s="398">
        <f>SUM('Income Statement'!BR34:BR34)/1000</f>
        <v>0</v>
      </c>
      <c r="AL36" s="398">
        <f>SUM('Income Statement'!BS34:BS34)/1000</f>
        <v>0</v>
      </c>
      <c r="AM36" s="398">
        <f>SUM('Income Statement'!BT34:BT34)/1000</f>
        <v>0</v>
      </c>
      <c r="AN36" s="398">
        <f>SUM('Income Statement'!BU34:BU34)/1000</f>
        <v>0</v>
      </c>
      <c r="AO36" s="398">
        <f>SUM('Income Statement'!BV34:BV34)/1000</f>
        <v>0</v>
      </c>
      <c r="AP36" s="398">
        <f>SUM('Income Statement'!BW34:BW34)/1000</f>
        <v>0</v>
      </c>
      <c r="AQ36" s="398">
        <f>SUM('Income Statement'!BX34:BX34)/1000</f>
        <v>0</v>
      </c>
      <c r="AR36" s="398">
        <f>SUM('Income Statement'!BY34:BY34)/1000</f>
        <v>-15.252960014419997</v>
      </c>
      <c r="AS36" s="398">
        <f>SUM('Income Statement'!BZ34:BZ34)/1000</f>
        <v>11.846793964439993</v>
      </c>
      <c r="AT36" s="398">
        <f>SUM('Income Statement'!CA34:CA34)/1000</f>
        <v>34.65710176564</v>
      </c>
      <c r="AU36" s="398">
        <f>SUM('Income Statement'!CB34:CB34)/1000</f>
        <v>2.9992432674399896</v>
      </c>
      <c r="AV36" s="398">
        <f>SUM('Income Statement'!CC34:CC34)/1000</f>
        <v>34.377446525159982</v>
      </c>
      <c r="AW36" s="398">
        <f>SUM('Income Statement'!CD34:CD34)/1000</f>
        <v>13.183017133420021</v>
      </c>
      <c r="AX36" s="398">
        <f>SUM('Income Statement'!CE34:CE34)/1000</f>
        <v>40.468072241110001</v>
      </c>
      <c r="AY36" s="398">
        <f>SUM('Income Statement'!CF34:CF34)/1000</f>
        <v>-20.141416877339989</v>
      </c>
      <c r="AZ36" s="398">
        <f>SUM('Income Statement'!CG34:CG34)/1000</f>
        <v>2.4225576725599969</v>
      </c>
      <c r="BA36" s="398">
        <f>SUM('Income Statement'!CH34:CH34)/1000</f>
        <v>34.545420654829996</v>
      </c>
      <c r="BB36" s="398">
        <f>SUM('Income Statement'!CI34:CI34)/1000</f>
        <v>-20.426346314880011</v>
      </c>
      <c r="BC36" s="398">
        <f>SUM('Income Statement'!CJ34:CJ34)/1000</f>
        <v>85.586684287650002</v>
      </c>
      <c r="BD36" s="398">
        <f>SUM('Income Statement'!CK34:CK34)/1000</f>
        <v>35.280703454610006</v>
      </c>
      <c r="BE36" s="398">
        <f>SUM('Income Statement'!CL34:CL34)/1000</f>
        <v>-6.0419733074500179</v>
      </c>
      <c r="BF36" s="398">
        <f>SUM('Income Statement'!CM34:CM34)/1000</f>
        <v>86.671320687720026</v>
      </c>
      <c r="BG36" s="399">
        <f>SUM('Income Statement'!CN34:CN34)/1000</f>
        <v>78.055014592569989</v>
      </c>
      <c r="BH36" s="398">
        <f>SUM('Income Statement'!CO34:CO34)/1000</f>
        <v>-48.110921166890002</v>
      </c>
      <c r="BI36" s="398">
        <f>SUM('Income Statement'!CP34:CP34)/1000</f>
        <v>-213.02130148414</v>
      </c>
      <c r="BJ36" s="398">
        <f>SUM('Income Statement'!CQ34:CQ34)/1000</f>
        <v>-9.375405426614277</v>
      </c>
      <c r="BK36" s="398">
        <f>SUM('Income Statement'!CR34:CR34)/1000</f>
        <v>-13.564431673917221</v>
      </c>
      <c r="BL36" s="398">
        <f>SUM('Income Statement'!CS34:CS34)/1000</f>
        <v>-1.002</v>
      </c>
      <c r="BM36" s="398">
        <f>SUM('Income Statement'!CT34:CT34)/1000</f>
        <v>0.58099999999999996</v>
      </c>
      <c r="BN36" s="398">
        <f>SUM('Income Statement'!CU34:CU34)/1000</f>
        <v>2.6030000000000002</v>
      </c>
      <c r="BO36" s="398">
        <f>SUM('Income Statement'!CV34:CV34)/1000</f>
        <v>-1.7509999999999999</v>
      </c>
      <c r="BP36" s="398">
        <f>SUM('Income Statement'!CW34:CW34)/1000</f>
        <v>1.5660000000000001</v>
      </c>
      <c r="BQ36" s="398">
        <f>SUM('Income Statement'!CX34:CX34)/1000</f>
        <v>9.3239999999999998</v>
      </c>
      <c r="BR36" s="398">
        <f>SUM('Income Statement'!CY34:CY34)/1000</f>
        <v>2.94</v>
      </c>
      <c r="BS36" s="398">
        <f>SUM('Income Statement'!CZ34:CZ34)/1000</f>
        <v>4.51</v>
      </c>
      <c r="BT36" s="397">
        <f>SUM('Income Statement'!DA34:DA34)/1000</f>
        <v>0</v>
      </c>
      <c r="BU36" s="397">
        <f ca="1">SUM('Income Statement'!DB34:DB34)/1000</f>
        <v>0</v>
      </c>
      <c r="BV36" s="397">
        <f ca="1">SUM('Income Statement'!DC34:DC34)/1000</f>
        <v>0</v>
      </c>
      <c r="BW36" s="397">
        <f ca="1">SUM('Income Statement'!DD34:DD34)/1000</f>
        <v>0</v>
      </c>
      <c r="BX36" s="397">
        <f ca="1">SUM('Income Statement'!DE34:DE34)/1000</f>
        <v>0</v>
      </c>
      <c r="BY36" s="397">
        <f ca="1">SUM('Income Statement'!DF34:DF34)/1000</f>
        <v>0</v>
      </c>
      <c r="BZ36" s="397">
        <f ca="1">SUM('Income Statement'!DG34:DG34)/1000</f>
        <v>0</v>
      </c>
      <c r="CA36" s="397">
        <f ca="1">SUM('Income Statement'!DH34:DH34)/1000</f>
        <v>0</v>
      </c>
      <c r="CB36" s="397">
        <f ca="1">SUM('Income Statement'!DI34:DI34)/1000</f>
        <v>0</v>
      </c>
      <c r="CC36" s="397">
        <f ca="1">SUM('Income Statement'!DJ34:DJ34)/1000</f>
        <v>0</v>
      </c>
      <c r="CD36" s="397">
        <f ca="1">SUM('Income Statement'!DK34:DK34)/1000</f>
        <v>0</v>
      </c>
      <c r="CE36" s="397">
        <f ca="1">SUM('Income Statement'!DL34:DL34)/1000</f>
        <v>0</v>
      </c>
      <c r="CF36" s="397">
        <f ca="1">SUM('Income Statement'!DM34:DM34)/1000</f>
        <v>0</v>
      </c>
      <c r="CG36" s="397">
        <f ca="1">SUM('Income Statement'!DN34:DN34)/1000</f>
        <v>0</v>
      </c>
      <c r="CH36" s="397">
        <f ca="1">SUM('Income Statement'!DO34:DO34)/1000</f>
        <v>0</v>
      </c>
      <c r="CI36" s="397">
        <f ca="1">SUM('Income Statement'!DP34:DP34)/1000</f>
        <v>0</v>
      </c>
      <c r="CJ36" s="397">
        <f ca="1">SUM('Income Statement'!DQ34:DQ34)/1000</f>
        <v>0</v>
      </c>
      <c r="CK36" s="397">
        <f ca="1">SUM('Income Statement'!DR34:DR34)/1000</f>
        <v>0</v>
      </c>
      <c r="CL36" s="397">
        <f ca="1">SUM('Income Statement'!DS34:DS34)/1000</f>
        <v>0</v>
      </c>
      <c r="CM36" s="397">
        <f ca="1">SUM('Income Statement'!DT34:DT34)/1000</f>
        <v>0</v>
      </c>
      <c r="CN36" s="397">
        <f ca="1">SUM('Income Statement'!DU34:DU34)/1000</f>
        <v>0</v>
      </c>
      <c r="CO36" s="397">
        <f ca="1">SUM('Income Statement'!DV34:DV34)/1000</f>
        <v>0</v>
      </c>
      <c r="CP36" s="397">
        <f ca="1">SUM('Income Statement'!DW34:DW34)/1000</f>
        <v>0</v>
      </c>
      <c r="CQ36" s="397">
        <f ca="1">SUM('Income Statement'!DX34:DX34)/1000</f>
        <v>0</v>
      </c>
    </row>
    <row r="37" spans="1:95" s="325" customFormat="1" ht="3.75" customHeight="1">
      <c r="A37" s="407"/>
      <c r="B37" s="377"/>
      <c r="C37" s="377"/>
      <c r="D37" s="377"/>
      <c r="E37" s="377"/>
      <c r="F37" s="377"/>
      <c r="G37" s="377"/>
      <c r="H37" s="377"/>
      <c r="I37" s="377"/>
      <c r="J37" s="377"/>
      <c r="K37" s="377"/>
      <c r="L37" s="377"/>
      <c r="M37" s="377"/>
      <c r="N37" s="377"/>
      <c r="O37" s="377"/>
      <c r="P37" s="405"/>
      <c r="Q37" s="405"/>
      <c r="R37" s="405"/>
      <c r="S37" s="405"/>
      <c r="T37" s="405"/>
      <c r="U37" s="405"/>
      <c r="V37" s="323"/>
      <c r="W37" s="407"/>
      <c r="X37" s="383"/>
      <c r="Y37" s="383"/>
      <c r="Z37" s="383"/>
      <c r="AA37" s="383"/>
      <c r="AB37" s="383"/>
      <c r="AC37" s="383"/>
      <c r="AD37" s="383"/>
      <c r="AE37" s="383"/>
      <c r="AF37" s="383"/>
      <c r="AG37" s="383"/>
      <c r="AH37" s="383"/>
      <c r="AI37" s="383"/>
      <c r="AJ37" s="383"/>
      <c r="AK37" s="383"/>
      <c r="AL37" s="383"/>
      <c r="AM37" s="383"/>
      <c r="AN37" s="383"/>
      <c r="AO37" s="383"/>
      <c r="AP37" s="383"/>
      <c r="AQ37" s="383"/>
      <c r="AR37" s="383"/>
      <c r="AS37" s="383"/>
      <c r="AT37" s="383"/>
      <c r="AU37" s="383"/>
      <c r="AV37" s="383"/>
      <c r="AW37" s="383"/>
      <c r="AX37" s="383"/>
      <c r="AY37" s="383"/>
      <c r="AZ37" s="383"/>
      <c r="BA37" s="383"/>
      <c r="BB37" s="383"/>
      <c r="BC37" s="383"/>
      <c r="BD37" s="383"/>
      <c r="BE37" s="383"/>
      <c r="BF37" s="383"/>
      <c r="BG37" s="410"/>
      <c r="BH37" s="383"/>
      <c r="BI37" s="383"/>
      <c r="BJ37" s="383"/>
      <c r="BK37" s="383"/>
      <c r="BL37" s="383"/>
      <c r="BM37" s="383"/>
      <c r="BN37" s="383"/>
      <c r="BO37" s="383"/>
      <c r="BP37" s="383"/>
      <c r="BQ37" s="383"/>
      <c r="BR37" s="383"/>
      <c r="BS37" s="383"/>
      <c r="BT37" s="409"/>
      <c r="BU37" s="409"/>
      <c r="BV37" s="409"/>
      <c r="BW37" s="409"/>
      <c r="BX37" s="409"/>
      <c r="BY37" s="409"/>
      <c r="BZ37" s="409"/>
      <c r="CA37" s="409"/>
      <c r="CB37" s="409"/>
      <c r="CC37" s="409"/>
      <c r="CD37" s="409"/>
      <c r="CE37" s="409"/>
      <c r="CF37" s="409"/>
      <c r="CG37" s="409"/>
      <c r="CH37" s="409"/>
      <c r="CI37" s="409"/>
      <c r="CJ37" s="409"/>
      <c r="CK37" s="409"/>
      <c r="CL37" s="409"/>
      <c r="CM37" s="409"/>
      <c r="CN37" s="409"/>
      <c r="CO37" s="409"/>
      <c r="CP37" s="409"/>
      <c r="CQ37" s="409"/>
    </row>
    <row r="38" spans="1:95" s="325" customFormat="1" ht="11.25" customHeight="1">
      <c r="A38" s="403" t="s">
        <v>365</v>
      </c>
      <c r="B38" s="394">
        <f t="shared" ref="B38:S38" si="40">B34+B36</f>
        <v>0</v>
      </c>
      <c r="C38" s="394">
        <f t="shared" si="40"/>
        <v>0</v>
      </c>
      <c r="D38" s="394">
        <f t="shared" si="40"/>
        <v>0</v>
      </c>
      <c r="E38" s="394">
        <f t="shared" si="40"/>
        <v>0</v>
      </c>
      <c r="F38" s="394">
        <f t="shared" si="40"/>
        <v>0</v>
      </c>
      <c r="G38" s="394">
        <f t="shared" si="40"/>
        <v>0</v>
      </c>
      <c r="H38" s="394">
        <f t="shared" si="40"/>
        <v>0</v>
      </c>
      <c r="I38" s="394">
        <f t="shared" si="40"/>
        <v>1986.5489064442759</v>
      </c>
      <c r="J38" s="394">
        <f t="shared" si="40"/>
        <v>2311.3189210824194</v>
      </c>
      <c r="K38" s="394">
        <f t="shared" si="40"/>
        <v>2579.2517620824383</v>
      </c>
      <c r="L38" s="394">
        <f t="shared" si="40"/>
        <v>2793.2968136941349</v>
      </c>
      <c r="M38" s="394">
        <f t="shared" si="40"/>
        <v>2335.1709733186267</v>
      </c>
      <c r="N38" s="394">
        <f t="shared" si="40"/>
        <v>3382.2810000000009</v>
      </c>
      <c r="O38" s="394">
        <f t="shared" si="40"/>
        <v>4317.1359444444442</v>
      </c>
      <c r="P38" s="393">
        <f t="shared" ca="1" si="40"/>
        <v>4924.8386718348474</v>
      </c>
      <c r="Q38" s="393">
        <f t="shared" ca="1" si="40"/>
        <v>5705.0366905064411</v>
      </c>
      <c r="R38" s="393">
        <f t="shared" ca="1" si="40"/>
        <v>6682.6024716737511</v>
      </c>
      <c r="S38" s="393">
        <f t="shared" ca="1" si="40"/>
        <v>7687.4470712780503</v>
      </c>
      <c r="T38" s="393">
        <f t="shared" ref="T38:U38" ca="1" si="41">T34+T36</f>
        <v>8922.9807443663667</v>
      </c>
      <c r="U38" s="393">
        <f t="shared" ca="1" si="41"/>
        <v>10367.995998710396</v>
      </c>
      <c r="V38" s="323"/>
      <c r="W38" s="403" t="s">
        <v>365</v>
      </c>
      <c r="X38" s="394">
        <f t="shared" ref="X38:BC38" si="42">X34+X36</f>
        <v>0</v>
      </c>
      <c r="Y38" s="394">
        <f t="shared" si="42"/>
        <v>0</v>
      </c>
      <c r="Z38" s="394">
        <f t="shared" si="42"/>
        <v>0</v>
      </c>
      <c r="AA38" s="394">
        <f t="shared" si="42"/>
        <v>0</v>
      </c>
      <c r="AB38" s="394">
        <f t="shared" si="42"/>
        <v>0</v>
      </c>
      <c r="AC38" s="394">
        <f t="shared" si="42"/>
        <v>0</v>
      </c>
      <c r="AD38" s="394">
        <f t="shared" si="42"/>
        <v>0</v>
      </c>
      <c r="AE38" s="394">
        <f t="shared" si="42"/>
        <v>0</v>
      </c>
      <c r="AF38" s="394">
        <f t="shared" si="42"/>
        <v>0</v>
      </c>
      <c r="AG38" s="394">
        <f t="shared" si="42"/>
        <v>0</v>
      </c>
      <c r="AH38" s="394">
        <f t="shared" si="42"/>
        <v>0</v>
      </c>
      <c r="AI38" s="394">
        <f t="shared" si="42"/>
        <v>0</v>
      </c>
      <c r="AJ38" s="394">
        <f t="shared" si="42"/>
        <v>0</v>
      </c>
      <c r="AK38" s="394">
        <f t="shared" si="42"/>
        <v>0</v>
      </c>
      <c r="AL38" s="394">
        <f t="shared" si="42"/>
        <v>0</v>
      </c>
      <c r="AM38" s="394">
        <f t="shared" si="42"/>
        <v>0</v>
      </c>
      <c r="AN38" s="394">
        <f t="shared" si="42"/>
        <v>0</v>
      </c>
      <c r="AO38" s="394">
        <f t="shared" si="42"/>
        <v>0</v>
      </c>
      <c r="AP38" s="394">
        <f t="shared" si="42"/>
        <v>0</v>
      </c>
      <c r="AQ38" s="394">
        <f t="shared" si="42"/>
        <v>0</v>
      </c>
      <c r="AR38" s="394">
        <f t="shared" si="42"/>
        <v>497.80175177241011</v>
      </c>
      <c r="AS38" s="394">
        <f t="shared" si="42"/>
        <v>528.27072424380947</v>
      </c>
      <c r="AT38" s="394">
        <f t="shared" si="42"/>
        <v>515.02506668695446</v>
      </c>
      <c r="AU38" s="394">
        <f t="shared" si="42"/>
        <v>445.45136374110223</v>
      </c>
      <c r="AV38" s="394">
        <f t="shared" si="42"/>
        <v>504.3183704127602</v>
      </c>
      <c r="AW38" s="394">
        <f t="shared" si="42"/>
        <v>678.69645586471893</v>
      </c>
      <c r="AX38" s="394">
        <f t="shared" si="42"/>
        <v>640.30129633126023</v>
      </c>
      <c r="AY38" s="394">
        <f t="shared" si="42"/>
        <v>488.00279847368012</v>
      </c>
      <c r="AZ38" s="394">
        <f t="shared" si="42"/>
        <v>666.06712329195955</v>
      </c>
      <c r="BA38" s="394">
        <f t="shared" si="42"/>
        <v>614.06969125426895</v>
      </c>
      <c r="BB38" s="394">
        <f t="shared" si="42"/>
        <v>639.48636805385217</v>
      </c>
      <c r="BC38" s="394">
        <f t="shared" si="42"/>
        <v>659.62857948235785</v>
      </c>
      <c r="BD38" s="394">
        <f t="shared" ref="BD38:CI38" si="43">BD34+BD36</f>
        <v>677.26604600722999</v>
      </c>
      <c r="BE38" s="394">
        <f t="shared" si="43"/>
        <v>628.70924054298132</v>
      </c>
      <c r="BF38" s="394">
        <f t="shared" si="43"/>
        <v>796.05677607571977</v>
      </c>
      <c r="BG38" s="395">
        <f t="shared" si="43"/>
        <v>691.2647510682043</v>
      </c>
      <c r="BH38" s="394">
        <f t="shared" si="43"/>
        <v>666.3039486309998</v>
      </c>
      <c r="BI38" s="394">
        <f t="shared" ref="BI38" si="44">BI34+BI36</f>
        <v>340.19455908002436</v>
      </c>
      <c r="BJ38" s="394">
        <f t="shared" si="43"/>
        <v>721.38677870184222</v>
      </c>
      <c r="BK38" s="394">
        <f t="shared" si="43"/>
        <v>607.28568690576151</v>
      </c>
      <c r="BL38" s="394">
        <f t="shared" ref="BL38" si="45">BL34+BL36</f>
        <v>832.99400000000026</v>
      </c>
      <c r="BM38" s="394">
        <f t="shared" si="43"/>
        <v>804.62199999999984</v>
      </c>
      <c r="BN38" s="394">
        <f t="shared" ref="BN38:BO38" si="46">BN34+BN36</f>
        <v>933.74000000000012</v>
      </c>
      <c r="BO38" s="394">
        <f t="shared" si="46"/>
        <v>810.92499999999973</v>
      </c>
      <c r="BP38" s="394">
        <f t="shared" si="43"/>
        <v>1142.6019999999999</v>
      </c>
      <c r="BQ38" s="394">
        <f t="shared" si="43"/>
        <v>1058.6600000000005</v>
      </c>
      <c r="BR38" s="394">
        <f t="shared" ref="BR38:BS38" si="47">BR34+BR36</f>
        <v>1047.0389444444443</v>
      </c>
      <c r="BS38" s="394">
        <f t="shared" si="47"/>
        <v>1068.8349999999994</v>
      </c>
      <c r="BT38" s="393">
        <f t="shared" ca="1" si="43"/>
        <v>1165.0101223133652</v>
      </c>
      <c r="BU38" s="393">
        <f t="shared" ca="1" si="43"/>
        <v>1196.2601499670538</v>
      </c>
      <c r="BV38" s="393">
        <f t="shared" ca="1" si="43"/>
        <v>1267.9333296941215</v>
      </c>
      <c r="BW38" s="393">
        <f t="shared" ca="1" si="43"/>
        <v>1295.6350698603094</v>
      </c>
      <c r="BX38" s="393">
        <f t="shared" ca="1" si="43"/>
        <v>1372.2237756899694</v>
      </c>
      <c r="BY38" s="393">
        <f t="shared" ca="1" si="43"/>
        <v>1415.9426149029368</v>
      </c>
      <c r="BZ38" s="393">
        <f t="shared" ca="1" si="43"/>
        <v>1446.1216731132047</v>
      </c>
      <c r="CA38" s="393">
        <f t="shared" ca="1" si="43"/>
        <v>1470.7486268003263</v>
      </c>
      <c r="CB38" s="393">
        <f t="shared" ca="1" si="43"/>
        <v>1567.0290849360965</v>
      </c>
      <c r="CC38" s="393">
        <f t="shared" ca="1" si="43"/>
        <v>1648.9818210078238</v>
      </c>
      <c r="CD38" s="393">
        <f t="shared" ca="1" si="43"/>
        <v>1708.9151389153221</v>
      </c>
      <c r="CE38" s="393">
        <f t="shared" ca="1" si="43"/>
        <v>1757.6764268145059</v>
      </c>
      <c r="CF38" s="393">
        <f t="shared" ca="1" si="43"/>
        <v>1864.6350792191247</v>
      </c>
      <c r="CG38" s="393">
        <f t="shared" ca="1" si="43"/>
        <v>1904.7470916901391</v>
      </c>
      <c r="CH38" s="393">
        <f t="shared" ca="1" si="43"/>
        <v>1948.2158823541611</v>
      </c>
      <c r="CI38" s="393">
        <f t="shared" ca="1" si="43"/>
        <v>1969.8490180146262</v>
      </c>
      <c r="CJ38" s="393">
        <f t="shared" ref="CJ38:CM38" ca="1" si="48">CJ34+CJ36</f>
        <v>2128.0202211048836</v>
      </c>
      <c r="CK38" s="393">
        <f t="shared" ca="1" si="48"/>
        <v>2209.7867493862327</v>
      </c>
      <c r="CL38" s="393">
        <f t="shared" ca="1" si="48"/>
        <v>2278.3120720381366</v>
      </c>
      <c r="CM38" s="393">
        <f t="shared" ca="1" si="48"/>
        <v>2306.8617018371115</v>
      </c>
      <c r="CN38" s="393">
        <f t="shared" ref="CN38:CQ38" ca="1" si="49">CN34+CN36</f>
        <v>2481.7465007584728</v>
      </c>
      <c r="CO38" s="393">
        <f t="shared" ca="1" si="49"/>
        <v>2571.6199222953692</v>
      </c>
      <c r="CP38" s="393">
        <f t="shared" ca="1" si="49"/>
        <v>2637.5298056056617</v>
      </c>
      <c r="CQ38" s="393">
        <f t="shared" ca="1" si="49"/>
        <v>2677.099770050896</v>
      </c>
    </row>
    <row r="39" spans="1:95" s="325" customFormat="1" ht="3.75" customHeight="1">
      <c r="A39" s="407"/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405"/>
      <c r="Q39" s="405"/>
      <c r="R39" s="405"/>
      <c r="S39" s="405"/>
      <c r="T39" s="405"/>
      <c r="U39" s="405"/>
      <c r="V39" s="323"/>
      <c r="W39" s="407"/>
      <c r="X39" s="383"/>
      <c r="Y39" s="383"/>
      <c r="Z39" s="383"/>
      <c r="AA39" s="383"/>
      <c r="AB39" s="383"/>
      <c r="AC39" s="383"/>
      <c r="AD39" s="383"/>
      <c r="AE39" s="383"/>
      <c r="AF39" s="383"/>
      <c r="AG39" s="383"/>
      <c r="AH39" s="383"/>
      <c r="AI39" s="383"/>
      <c r="AJ39" s="383"/>
      <c r="AK39" s="383"/>
      <c r="AL39" s="383"/>
      <c r="AM39" s="383"/>
      <c r="AN39" s="383"/>
      <c r="AO39" s="383"/>
      <c r="AP39" s="383"/>
      <c r="AQ39" s="383"/>
      <c r="AR39" s="383"/>
      <c r="AS39" s="383"/>
      <c r="AT39" s="383"/>
      <c r="AU39" s="383"/>
      <c r="AV39" s="383"/>
      <c r="AW39" s="383"/>
      <c r="AX39" s="383"/>
      <c r="AY39" s="383"/>
      <c r="AZ39" s="383"/>
      <c r="BA39" s="383"/>
      <c r="BB39" s="383"/>
      <c r="BC39" s="383"/>
      <c r="BD39" s="383"/>
      <c r="BE39" s="383"/>
      <c r="BF39" s="383"/>
      <c r="BG39" s="410"/>
      <c r="BH39" s="383"/>
      <c r="BI39" s="383"/>
      <c r="BJ39" s="383"/>
      <c r="BK39" s="383"/>
      <c r="BL39" s="383"/>
      <c r="BM39" s="383"/>
      <c r="BN39" s="383"/>
      <c r="BO39" s="383"/>
      <c r="BP39" s="383"/>
      <c r="BQ39" s="383"/>
      <c r="BR39" s="383"/>
      <c r="BS39" s="383"/>
      <c r="BT39" s="409"/>
      <c r="BU39" s="409"/>
      <c r="BV39" s="409"/>
      <c r="BW39" s="409"/>
      <c r="BX39" s="409"/>
      <c r="BY39" s="409"/>
      <c r="BZ39" s="409"/>
      <c r="CA39" s="409"/>
      <c r="CB39" s="409"/>
      <c r="CC39" s="409"/>
      <c r="CD39" s="409"/>
      <c r="CE39" s="409"/>
      <c r="CF39" s="409"/>
      <c r="CG39" s="409"/>
      <c r="CH39" s="409"/>
      <c r="CI39" s="409"/>
      <c r="CJ39" s="409"/>
      <c r="CK39" s="409"/>
      <c r="CL39" s="409"/>
      <c r="CM39" s="409"/>
      <c r="CN39" s="409"/>
      <c r="CO39" s="409"/>
      <c r="CP39" s="409"/>
      <c r="CQ39" s="409"/>
    </row>
    <row r="40" spans="1:95" s="325" customFormat="1" ht="11.25" customHeight="1">
      <c r="A40" s="408" t="s">
        <v>364</v>
      </c>
      <c r="B40" s="402">
        <f>('Income Statement'!G36)/1000</f>
        <v>0</v>
      </c>
      <c r="C40" s="402">
        <f>('Income Statement'!H36)/1000</f>
        <v>0</v>
      </c>
      <c r="D40" s="402">
        <f>('Income Statement'!I36)/1000</f>
        <v>0</v>
      </c>
      <c r="E40" s="402">
        <f>('Income Statement'!J36)/1000</f>
        <v>0</v>
      </c>
      <c r="F40" s="402">
        <f>('Income Statement'!K36)/1000</f>
        <v>0</v>
      </c>
      <c r="G40" s="402">
        <f>('Income Statement'!L36)/1000</f>
        <v>0</v>
      </c>
      <c r="H40" s="402">
        <f>('Income Statement'!M36)/1000</f>
        <v>0</v>
      </c>
      <c r="I40" s="402">
        <f>('Income Statement'!N36)/1000</f>
        <v>-417.99291441254002</v>
      </c>
      <c r="J40" s="402">
        <f>('Income Statement'!O36)/1000</f>
        <v>-528.37424020952005</v>
      </c>
      <c r="K40" s="402">
        <f>('Income Statement'!P36)/1000</f>
        <v>-567.52842557000019</v>
      </c>
      <c r="L40" s="402">
        <f>('Income Statement'!Q36)/1000</f>
        <v>-662.36913923078009</v>
      </c>
      <c r="M40" s="402">
        <f>('Income Statement'!R36)/1000</f>
        <v>-777.63036315145916</v>
      </c>
      <c r="N40" s="402">
        <f>('Income Statement'!S36)/1000</f>
        <v>-926.35305000000005</v>
      </c>
      <c r="O40" s="402">
        <f>('Income Statement'!T36)/1000</f>
        <v>-1174.2769444444446</v>
      </c>
      <c r="P40" s="401">
        <f ca="1">('Income Statement'!U36)/1000</f>
        <v>-1316.2354746599026</v>
      </c>
      <c r="Q40" s="401">
        <f ca="1">('Income Statement'!V36)/1000</f>
        <v>-1426.2591726266094</v>
      </c>
      <c r="R40" s="401">
        <f ca="1">('Income Statement'!W36)/1000</f>
        <v>-1603.8245932017001</v>
      </c>
      <c r="S40" s="401">
        <f ca="1">('Income Statement'!X36)/1000</f>
        <v>-1844.9872971067321</v>
      </c>
      <c r="T40" s="401">
        <f ca="1">('Income Statement'!Y36)/1000</f>
        <v>-2141.5153786479273</v>
      </c>
      <c r="U40" s="401">
        <f ca="1">('Income Statement'!Z36)/1000</f>
        <v>-2488.3190396904961</v>
      </c>
      <c r="V40" s="323"/>
      <c r="W40" s="408" t="s">
        <v>364</v>
      </c>
      <c r="X40" s="398">
        <f>('Income Statement'!BE36)/1000</f>
        <v>0</v>
      </c>
      <c r="Y40" s="398">
        <f>('Income Statement'!BF36)/1000</f>
        <v>0</v>
      </c>
      <c r="Z40" s="398">
        <f>('Income Statement'!BG36)/1000</f>
        <v>0</v>
      </c>
      <c r="AA40" s="398">
        <f>('Income Statement'!BH36)/1000</f>
        <v>0</v>
      </c>
      <c r="AB40" s="398">
        <f>('Income Statement'!BI36)/1000</f>
        <v>0</v>
      </c>
      <c r="AC40" s="398">
        <f>('Income Statement'!BJ36)/1000</f>
        <v>0</v>
      </c>
      <c r="AD40" s="398">
        <f>('Income Statement'!BK36)/1000</f>
        <v>0</v>
      </c>
      <c r="AE40" s="398">
        <f>('Income Statement'!BL36)/1000</f>
        <v>0</v>
      </c>
      <c r="AF40" s="398">
        <f>('Income Statement'!BM36)/1000</f>
        <v>0</v>
      </c>
      <c r="AG40" s="398">
        <f>('Income Statement'!BN36)/1000</f>
        <v>0</v>
      </c>
      <c r="AH40" s="398">
        <f>('Income Statement'!BO36)/1000</f>
        <v>0</v>
      </c>
      <c r="AI40" s="398">
        <f>('Income Statement'!BP36)/1000</f>
        <v>0</v>
      </c>
      <c r="AJ40" s="398">
        <f>('Income Statement'!BQ36)/1000</f>
        <v>0</v>
      </c>
      <c r="AK40" s="398">
        <f>('Income Statement'!BR36)/1000</f>
        <v>0</v>
      </c>
      <c r="AL40" s="398">
        <f>('Income Statement'!BS36)/1000</f>
        <v>0</v>
      </c>
      <c r="AM40" s="398">
        <f>('Income Statement'!BT36)/1000</f>
        <v>0</v>
      </c>
      <c r="AN40" s="398">
        <f>('Income Statement'!BU36)/1000</f>
        <v>0</v>
      </c>
      <c r="AO40" s="398">
        <f>('Income Statement'!BV36)/1000</f>
        <v>0</v>
      </c>
      <c r="AP40" s="398">
        <f>('Income Statement'!BW36)/1000</f>
        <v>0</v>
      </c>
      <c r="AQ40" s="398">
        <f>('Income Statement'!BX36)/1000</f>
        <v>0</v>
      </c>
      <c r="AR40" s="398">
        <f>('Income Statement'!BY36)/1000</f>
        <v>-107.71508786740003</v>
      </c>
      <c r="AS40" s="398">
        <f>('Income Statement'!BZ36)/1000</f>
        <v>-137.84406708531</v>
      </c>
      <c r="AT40" s="398">
        <f>('Income Statement'!CA36)/1000</f>
        <v>-116.33524673521006</v>
      </c>
      <c r="AU40" s="398">
        <f>('Income Statement'!CB36)/1000</f>
        <v>-56.098512724619944</v>
      </c>
      <c r="AV40" s="398">
        <f>('Income Statement'!CC36)/1000</f>
        <v>-112.28597066993999</v>
      </c>
      <c r="AW40" s="398">
        <f>('Income Statement'!CD36)/1000</f>
        <v>-161.82431415598001</v>
      </c>
      <c r="AX40" s="398">
        <f>('Income Statement'!CE36)/1000</f>
        <v>-153.93815099683997</v>
      </c>
      <c r="AY40" s="398">
        <f>('Income Statement'!CF36)/1000</f>
        <v>-100.32580438676011</v>
      </c>
      <c r="AZ40" s="398">
        <f>('Income Statement'!CG36)/1000</f>
        <v>-169.06110670017998</v>
      </c>
      <c r="BA40" s="398">
        <f>('Income Statement'!CH36)/1000</f>
        <v>-119.95025716243993</v>
      </c>
      <c r="BB40" s="398">
        <f>('Income Statement'!CI36)/1000</f>
        <v>-160.97555139927024</v>
      </c>
      <c r="BC40" s="398">
        <f>('Income Statement'!CJ36)/1000</f>
        <v>-117.54151030811003</v>
      </c>
      <c r="BD40" s="398">
        <f>('Income Statement'!CK36)/1000</f>
        <v>-160.88274500520004</v>
      </c>
      <c r="BE40" s="398">
        <f>('Income Statement'!CL36)/1000</f>
        <v>-156.54323149025987</v>
      </c>
      <c r="BF40" s="398">
        <f>('Income Statement'!CM36)/1000</f>
        <v>-186.4071148955602</v>
      </c>
      <c r="BG40" s="399">
        <f>('Income Statement'!CN36)/1000</f>
        <v>-158.53604783975996</v>
      </c>
      <c r="BH40" s="398">
        <f>('Income Statement'!CO36)/1000</f>
        <v>-187.06528315477999</v>
      </c>
      <c r="BI40" s="398">
        <f>('Income Statement'!CP36)/1000</f>
        <v>-193.23090209457413</v>
      </c>
      <c r="BJ40" s="398">
        <f>('Income Statement'!CQ36)/1000</f>
        <v>-208.88662256652432</v>
      </c>
      <c r="BK40" s="398">
        <f>('Income Statement'!CR36)/1000</f>
        <v>-188.44755533558072</v>
      </c>
      <c r="BL40" s="398">
        <f>('Income Statement'!CS36)/1000</f>
        <v>-212.73505</v>
      </c>
      <c r="BM40" s="398">
        <f>('Income Statement'!CT36)/1000</f>
        <v>-204.934</v>
      </c>
      <c r="BN40" s="398">
        <f>('Income Statement'!CU36)/1000</f>
        <v>-275.36399999999998</v>
      </c>
      <c r="BO40" s="398">
        <f>('Income Statement'!CV36)/1000</f>
        <v>-233.32</v>
      </c>
      <c r="BP40" s="398">
        <f>('Income Statement'!CW36)/1000</f>
        <v>-309.43099999999998</v>
      </c>
      <c r="BQ40" s="398">
        <f>('Income Statement'!CX36)/1000</f>
        <v>-289.38900000000001</v>
      </c>
      <c r="BR40" s="398">
        <f>('Income Statement'!CY36)/1000</f>
        <v>-278.05894444444442</v>
      </c>
      <c r="BS40" s="398">
        <f>('Income Statement'!CZ36)/1000</f>
        <v>-297.39800000000002</v>
      </c>
      <c r="BT40" s="397">
        <f ca="1">('Income Statement'!DA36)/1000</f>
        <v>-320.37778363617565</v>
      </c>
      <c r="BU40" s="397">
        <f ca="1">('Income Statement'!DB36)/1000</f>
        <v>-322.99024049110432</v>
      </c>
      <c r="BV40" s="397">
        <f ca="1">('Income Statement'!DC36)/1000</f>
        <v>-336.00233236894212</v>
      </c>
      <c r="BW40" s="397">
        <f ca="1">('Income Statement'!DD36)/1000</f>
        <v>-336.86511816368039</v>
      </c>
      <c r="BX40" s="397">
        <f ca="1">('Income Statement'!DE36)/1000</f>
        <v>-343.0559439224923</v>
      </c>
      <c r="BY40" s="397">
        <f ca="1">('Income Statement'!DF36)/1000</f>
        <v>-353.98565372573432</v>
      </c>
      <c r="BZ40" s="397">
        <f ca="1">('Income Statement'!DG36)/1000</f>
        <v>-361.53041827830111</v>
      </c>
      <c r="CA40" s="397">
        <f ca="1">('Income Statement'!DH36)/1000</f>
        <v>-367.68715670008157</v>
      </c>
      <c r="CB40" s="397">
        <f ca="1">('Income Statement'!DI36)/1000</f>
        <v>-376.08698038466326</v>
      </c>
      <c r="CC40" s="397">
        <f ca="1">('Income Statement'!DJ36)/1000</f>
        <v>-395.75563704187783</v>
      </c>
      <c r="CD40" s="397">
        <f ca="1">('Income Statement'!DK36)/1000</f>
        <v>-410.13963333967735</v>
      </c>
      <c r="CE40" s="397">
        <f ca="1">('Income Statement'!DL36)/1000</f>
        <v>-421.8423424354815</v>
      </c>
      <c r="CF40" s="397">
        <f ca="1">('Income Statement'!DM36)/1000</f>
        <v>-447.51241901258993</v>
      </c>
      <c r="CG40" s="397">
        <f ca="1">('Income Statement'!DN36)/1000</f>
        <v>-457.13930200563323</v>
      </c>
      <c r="CH40" s="397">
        <f ca="1">('Income Statement'!DO36)/1000</f>
        <v>-467.5718117649987</v>
      </c>
      <c r="CI40" s="397">
        <f ca="1">('Income Statement'!DP36)/1000</f>
        <v>-472.76376432350997</v>
      </c>
      <c r="CJ40" s="397">
        <f ca="1">('Income Statement'!DQ36)/1000</f>
        <v>-510.72485306517228</v>
      </c>
      <c r="CK40" s="397">
        <f ca="1">('Income Statement'!DR36)/1000</f>
        <v>-530.34881985269578</v>
      </c>
      <c r="CL40" s="397">
        <f ca="1">('Income Statement'!DS36)/1000</f>
        <v>-546.79489728915269</v>
      </c>
      <c r="CM40" s="397">
        <f ca="1">('Income Statement'!DT36)/1000</f>
        <v>-553.64680844090674</v>
      </c>
      <c r="CN40" s="397">
        <f ca="1">('Income Statement'!DU36)/1000</f>
        <v>-595.6191601820334</v>
      </c>
      <c r="CO40" s="397">
        <f ca="1">('Income Statement'!DV36)/1000</f>
        <v>-617.18878135088869</v>
      </c>
      <c r="CP40" s="397">
        <f ca="1">('Income Statement'!DW36)/1000</f>
        <v>-633.00715334535892</v>
      </c>
      <c r="CQ40" s="397">
        <f ca="1">('Income Statement'!DX36)/1000</f>
        <v>-642.50394481221497</v>
      </c>
    </row>
    <row r="41" spans="1:95" s="325" customFormat="1" ht="11.25" customHeight="1">
      <c r="A41" s="407" t="s">
        <v>363</v>
      </c>
      <c r="B41" s="402">
        <f>('Income Statement'!G35)/1000</f>
        <v>0</v>
      </c>
      <c r="C41" s="402">
        <f>('Income Statement'!H35)/1000</f>
        <v>0</v>
      </c>
      <c r="D41" s="402">
        <f>('Income Statement'!I35)/1000</f>
        <v>0</v>
      </c>
      <c r="E41" s="402">
        <f>('Income Statement'!J35)/1000</f>
        <v>0</v>
      </c>
      <c r="F41" s="402">
        <f>('Income Statement'!K35)/1000</f>
        <v>0</v>
      </c>
      <c r="G41" s="402">
        <f>('Income Statement'!L35)/1000</f>
        <v>0</v>
      </c>
      <c r="H41" s="402">
        <f>('Income Statement'!M35)/1000</f>
        <v>0</v>
      </c>
      <c r="I41" s="402">
        <f>('Income Statement'!N35)/1000</f>
        <v>-55.682789110189987</v>
      </c>
      <c r="J41" s="402">
        <f>('Income Statement'!O35)/1000</f>
        <v>-78.63083632807998</v>
      </c>
      <c r="K41" s="402">
        <f>('Income Statement'!P35)/1000</f>
        <v>0</v>
      </c>
      <c r="L41" s="402">
        <f>('Income Statement'!Q35)/1000</f>
        <v>0</v>
      </c>
      <c r="M41" s="402">
        <f>('Income Statement'!R35)/1000</f>
        <v>0</v>
      </c>
      <c r="N41" s="402">
        <f>('Income Statement'!S35)/1000</f>
        <v>0</v>
      </c>
      <c r="O41" s="402">
        <f>('Income Statement'!T35)/1000</f>
        <v>0</v>
      </c>
      <c r="P41" s="401">
        <f>('Income Statement'!U35)/1000</f>
        <v>0</v>
      </c>
      <c r="Q41" s="401">
        <f>('Income Statement'!V35)/1000</f>
        <v>0</v>
      </c>
      <c r="R41" s="401">
        <f>('Income Statement'!W35)/1000</f>
        <v>0</v>
      </c>
      <c r="S41" s="401">
        <f>('Income Statement'!X35)/1000</f>
        <v>0</v>
      </c>
      <c r="T41" s="401">
        <f>('Income Statement'!Y35)/1000</f>
        <v>0</v>
      </c>
      <c r="U41" s="401">
        <f>('Income Statement'!Z35)/1000</f>
        <v>0</v>
      </c>
      <c r="V41" s="323"/>
      <c r="W41" s="407" t="s">
        <v>363</v>
      </c>
      <c r="X41" s="398">
        <f>('Income Statement'!BE35)/1000</f>
        <v>0</v>
      </c>
      <c r="Y41" s="398">
        <f>('Income Statement'!BF35)/1000</f>
        <v>0</v>
      </c>
      <c r="Z41" s="398">
        <f>('Income Statement'!BG35)/1000</f>
        <v>0</v>
      </c>
      <c r="AA41" s="398">
        <f>('Income Statement'!BH35)/1000</f>
        <v>0</v>
      </c>
      <c r="AB41" s="398">
        <f>('Income Statement'!BI35)/1000</f>
        <v>0</v>
      </c>
      <c r="AC41" s="398">
        <f>('Income Statement'!BJ35)/1000</f>
        <v>0</v>
      </c>
      <c r="AD41" s="398">
        <f>('Income Statement'!BK35)/1000</f>
        <v>0</v>
      </c>
      <c r="AE41" s="398">
        <f>('Income Statement'!BL35)/1000</f>
        <v>0</v>
      </c>
      <c r="AF41" s="398">
        <f>('Income Statement'!BM35)/1000</f>
        <v>0</v>
      </c>
      <c r="AG41" s="398">
        <f>('Income Statement'!BN35)/1000</f>
        <v>0</v>
      </c>
      <c r="AH41" s="398">
        <f>('Income Statement'!BO35)/1000</f>
        <v>0</v>
      </c>
      <c r="AI41" s="398">
        <f>('Income Statement'!BP35)/1000</f>
        <v>0</v>
      </c>
      <c r="AJ41" s="398">
        <f>('Income Statement'!BQ35)/1000</f>
        <v>0</v>
      </c>
      <c r="AK41" s="398">
        <f>('Income Statement'!BR35)/1000</f>
        <v>0</v>
      </c>
      <c r="AL41" s="398">
        <f>('Income Statement'!BS35)/1000</f>
        <v>0</v>
      </c>
      <c r="AM41" s="398">
        <f>('Income Statement'!BT35)/1000</f>
        <v>0</v>
      </c>
      <c r="AN41" s="398">
        <f>('Income Statement'!BU35)/1000</f>
        <v>0</v>
      </c>
      <c r="AO41" s="398">
        <f>('Income Statement'!BV35)/1000</f>
        <v>0</v>
      </c>
      <c r="AP41" s="398">
        <f>('Income Statement'!BW35)/1000</f>
        <v>0</v>
      </c>
      <c r="AQ41" s="398">
        <f>('Income Statement'!BX35)/1000</f>
        <v>0</v>
      </c>
      <c r="AR41" s="398">
        <f>('Income Statement'!BY35)/1000</f>
        <v>-14.683901280480001</v>
      </c>
      <c r="AS41" s="398">
        <f>('Income Statement'!BZ35)/1000</f>
        <v>-19.055526799679988</v>
      </c>
      <c r="AT41" s="398">
        <f>('Income Statement'!CA35)/1000</f>
        <v>-16.91691979697001</v>
      </c>
      <c r="AU41" s="398">
        <f>('Income Statement'!CB35)/1000</f>
        <v>-5.0264412330599884</v>
      </c>
      <c r="AV41" s="398">
        <f>('Income Statement'!CC35)/1000</f>
        <v>-15.588930408870002</v>
      </c>
      <c r="AW41" s="398">
        <f>('Income Statement'!CD35)/1000</f>
        <v>-24.479408299679999</v>
      </c>
      <c r="AX41" s="398">
        <f>('Income Statement'!CE35)/1000</f>
        <v>-22.552705058789993</v>
      </c>
      <c r="AY41" s="398">
        <f>('Income Statement'!CF35)/1000</f>
        <v>-16.009792560739989</v>
      </c>
      <c r="AZ41" s="398">
        <f>('Income Statement'!CG35)/1000</f>
        <v>0</v>
      </c>
      <c r="BA41" s="398">
        <f>('Income Statement'!CH35)/1000</f>
        <v>0</v>
      </c>
      <c r="BB41" s="398">
        <f>('Income Statement'!CI35)/1000</f>
        <v>0</v>
      </c>
      <c r="BC41" s="398">
        <f>('Income Statement'!CJ35)/1000</f>
        <v>0</v>
      </c>
      <c r="BD41" s="398">
        <f>('Income Statement'!CK35)/1000</f>
        <v>0</v>
      </c>
      <c r="BE41" s="398">
        <f>('Income Statement'!CL35)/1000</f>
        <v>0</v>
      </c>
      <c r="BF41" s="398">
        <f>('Income Statement'!CM35)/1000</f>
        <v>0</v>
      </c>
      <c r="BG41" s="399">
        <f>('Income Statement'!CN35)/1000</f>
        <v>0</v>
      </c>
      <c r="BH41" s="398">
        <f>('Income Statement'!CO35)/1000</f>
        <v>0</v>
      </c>
      <c r="BI41" s="398">
        <f>('Income Statement'!CP35)/1000</f>
        <v>0</v>
      </c>
      <c r="BJ41" s="398">
        <f>('Income Statement'!CQ35)/1000</f>
        <v>0</v>
      </c>
      <c r="BK41" s="398">
        <f>('Income Statement'!CR35)/1000</f>
        <v>0</v>
      </c>
      <c r="BL41" s="398">
        <f>('Income Statement'!CS35)/1000</f>
        <v>0</v>
      </c>
      <c r="BM41" s="398">
        <f>('Income Statement'!CT35)/1000</f>
        <v>0</v>
      </c>
      <c r="BN41" s="398">
        <f>('Income Statement'!CU35)/1000</f>
        <v>0</v>
      </c>
      <c r="BO41" s="398">
        <f>('Income Statement'!CV35)/1000</f>
        <v>0</v>
      </c>
      <c r="BP41" s="398">
        <f>('Income Statement'!CW35)/1000</f>
        <v>0</v>
      </c>
      <c r="BQ41" s="398">
        <f>('Income Statement'!CX35)/1000</f>
        <v>0</v>
      </c>
      <c r="BR41" s="398">
        <f>('Income Statement'!CY35)/1000</f>
        <v>0</v>
      </c>
      <c r="BS41" s="398">
        <f>('Income Statement'!CZ35)/1000</f>
        <v>0</v>
      </c>
      <c r="BT41" s="397">
        <f>('Income Statement'!DA35)/1000</f>
        <v>0</v>
      </c>
      <c r="BU41" s="397">
        <f>('Income Statement'!DB35)/1000</f>
        <v>0</v>
      </c>
      <c r="BV41" s="397">
        <f>('Income Statement'!DC35)/1000</f>
        <v>0</v>
      </c>
      <c r="BW41" s="397">
        <f>('Income Statement'!DD35)/1000</f>
        <v>0</v>
      </c>
      <c r="BX41" s="397">
        <f>('Income Statement'!DE35)/1000</f>
        <v>0</v>
      </c>
      <c r="BY41" s="397">
        <f>('Income Statement'!DF35)/1000</f>
        <v>0</v>
      </c>
      <c r="BZ41" s="397">
        <f>('Income Statement'!DG35)/1000</f>
        <v>0</v>
      </c>
      <c r="CA41" s="397">
        <f>('Income Statement'!DH35)/1000</f>
        <v>0</v>
      </c>
      <c r="CB41" s="397">
        <f>('Income Statement'!DI35)/1000</f>
        <v>0</v>
      </c>
      <c r="CC41" s="397">
        <f>('Income Statement'!DJ35)/1000</f>
        <v>0</v>
      </c>
      <c r="CD41" s="397">
        <f>('Income Statement'!DK35)/1000</f>
        <v>0</v>
      </c>
      <c r="CE41" s="397">
        <f>('Income Statement'!DL35)/1000</f>
        <v>0</v>
      </c>
      <c r="CF41" s="397">
        <f>('Income Statement'!DM35)/1000</f>
        <v>0</v>
      </c>
      <c r="CG41" s="397">
        <f>('Income Statement'!DN35)/1000</f>
        <v>0</v>
      </c>
      <c r="CH41" s="397">
        <f>('Income Statement'!DO35)/1000</f>
        <v>0</v>
      </c>
      <c r="CI41" s="397">
        <f>('Income Statement'!DP35)/1000</f>
        <v>0</v>
      </c>
      <c r="CJ41" s="397">
        <f>('Income Statement'!DQ35)/1000</f>
        <v>0</v>
      </c>
      <c r="CK41" s="397">
        <f>('Income Statement'!DR35)/1000</f>
        <v>0</v>
      </c>
      <c r="CL41" s="397">
        <f>('Income Statement'!DS35)/1000</f>
        <v>0</v>
      </c>
      <c r="CM41" s="397">
        <f>('Income Statement'!DT35)/1000</f>
        <v>0</v>
      </c>
      <c r="CN41" s="397">
        <f>('Income Statement'!DU35)/1000</f>
        <v>0</v>
      </c>
      <c r="CO41" s="397">
        <f>('Income Statement'!DV35)/1000</f>
        <v>0</v>
      </c>
      <c r="CP41" s="397">
        <f>('Income Statement'!DW35)/1000</f>
        <v>0</v>
      </c>
      <c r="CQ41" s="397">
        <f>('Income Statement'!DX35)/1000</f>
        <v>0</v>
      </c>
    </row>
    <row r="42" spans="1:95" s="325" customFormat="1" ht="3.75" customHeight="1">
      <c r="A42" s="407"/>
      <c r="B42" s="377"/>
      <c r="C42" s="377"/>
      <c r="D42" s="377"/>
      <c r="E42" s="377"/>
      <c r="F42" s="377"/>
      <c r="G42" s="377"/>
      <c r="H42" s="377"/>
      <c r="I42" s="377"/>
      <c r="J42" s="377"/>
      <c r="K42" s="377"/>
      <c r="L42" s="377"/>
      <c r="M42" s="377"/>
      <c r="N42" s="377"/>
      <c r="O42" s="377"/>
      <c r="P42" s="405"/>
      <c r="Q42" s="405"/>
      <c r="R42" s="405"/>
      <c r="S42" s="405"/>
      <c r="T42" s="405"/>
      <c r="U42" s="405"/>
      <c r="V42" s="323"/>
      <c r="W42" s="407"/>
      <c r="X42" s="377"/>
      <c r="Y42" s="377"/>
      <c r="Z42" s="377"/>
      <c r="AA42" s="377"/>
      <c r="AB42" s="377"/>
      <c r="AC42" s="377"/>
      <c r="AD42" s="377"/>
      <c r="AE42" s="377"/>
      <c r="AF42" s="377"/>
      <c r="AG42" s="377"/>
      <c r="AH42" s="377"/>
      <c r="AI42" s="377"/>
      <c r="AJ42" s="377"/>
      <c r="AK42" s="377"/>
      <c r="AL42" s="377"/>
      <c r="AM42" s="377"/>
      <c r="AN42" s="377"/>
      <c r="AO42" s="377"/>
      <c r="AP42" s="377"/>
      <c r="AQ42" s="377"/>
      <c r="AR42" s="377"/>
      <c r="AS42" s="377"/>
      <c r="AT42" s="377"/>
      <c r="AU42" s="377"/>
      <c r="AV42" s="377"/>
      <c r="AW42" s="377"/>
      <c r="AX42" s="377"/>
      <c r="AY42" s="377"/>
      <c r="AZ42" s="377"/>
      <c r="BA42" s="377"/>
      <c r="BB42" s="377"/>
      <c r="BC42" s="377"/>
      <c r="BD42" s="377"/>
      <c r="BE42" s="377"/>
      <c r="BF42" s="377"/>
      <c r="BG42" s="406"/>
      <c r="BH42" s="377"/>
      <c r="BI42" s="377"/>
      <c r="BJ42" s="377"/>
      <c r="BK42" s="377"/>
      <c r="BL42" s="377"/>
      <c r="BM42" s="377"/>
      <c r="BN42" s="377"/>
      <c r="BO42" s="377"/>
      <c r="BP42" s="377"/>
      <c r="BQ42" s="377"/>
      <c r="BR42" s="377"/>
      <c r="BS42" s="377"/>
      <c r="BT42" s="405"/>
      <c r="BU42" s="405"/>
      <c r="BV42" s="405"/>
      <c r="BW42" s="405"/>
      <c r="BX42" s="405"/>
      <c r="BY42" s="405"/>
      <c r="BZ42" s="405"/>
      <c r="CA42" s="405"/>
      <c r="CB42" s="405"/>
      <c r="CC42" s="405"/>
      <c r="CD42" s="405"/>
      <c r="CE42" s="405"/>
      <c r="CF42" s="405"/>
      <c r="CG42" s="405"/>
      <c r="CH42" s="405"/>
      <c r="CI42" s="405"/>
      <c r="CJ42" s="405"/>
      <c r="CK42" s="405"/>
      <c r="CL42" s="405"/>
      <c r="CM42" s="405"/>
      <c r="CN42" s="405"/>
      <c r="CO42" s="405"/>
      <c r="CP42" s="405"/>
      <c r="CQ42" s="405"/>
    </row>
    <row r="43" spans="1:95" s="325" customFormat="1" ht="11.25" customHeight="1">
      <c r="A43" s="403" t="s">
        <v>362</v>
      </c>
      <c r="B43" s="394">
        <f t="shared" ref="B43:S43" si="50">SUM(B38:B41)</f>
        <v>0</v>
      </c>
      <c r="C43" s="394">
        <f t="shared" si="50"/>
        <v>0</v>
      </c>
      <c r="D43" s="394">
        <f t="shared" si="50"/>
        <v>0</v>
      </c>
      <c r="E43" s="394">
        <f t="shared" si="50"/>
        <v>0</v>
      </c>
      <c r="F43" s="394">
        <f t="shared" si="50"/>
        <v>0</v>
      </c>
      <c r="G43" s="394">
        <f t="shared" si="50"/>
        <v>0</v>
      </c>
      <c r="H43" s="394">
        <f t="shared" si="50"/>
        <v>0</v>
      </c>
      <c r="I43" s="394">
        <f t="shared" si="50"/>
        <v>1512.873202921546</v>
      </c>
      <c r="J43" s="394">
        <f t="shared" si="50"/>
        <v>1704.3138445448194</v>
      </c>
      <c r="K43" s="394">
        <f t="shared" si="50"/>
        <v>2011.723336512438</v>
      </c>
      <c r="L43" s="394">
        <f t="shared" si="50"/>
        <v>2130.9276744633548</v>
      </c>
      <c r="M43" s="394">
        <f t="shared" si="50"/>
        <v>1557.5406101671674</v>
      </c>
      <c r="N43" s="394">
        <f t="shared" si="50"/>
        <v>2455.9279500000007</v>
      </c>
      <c r="O43" s="394">
        <f t="shared" si="50"/>
        <v>3142.8589999999995</v>
      </c>
      <c r="P43" s="393">
        <f t="shared" ca="1" si="50"/>
        <v>3608.6031971749449</v>
      </c>
      <c r="Q43" s="393">
        <f t="shared" ca="1" si="50"/>
        <v>4278.777517879832</v>
      </c>
      <c r="R43" s="393">
        <f t="shared" ca="1" si="50"/>
        <v>5078.7778784720513</v>
      </c>
      <c r="S43" s="393">
        <f t="shared" ca="1" si="50"/>
        <v>5842.4597741713187</v>
      </c>
      <c r="T43" s="393">
        <f t="shared" ref="T43:U43" ca="1" si="51">SUM(T38:T41)</f>
        <v>6781.465365718439</v>
      </c>
      <c r="U43" s="393">
        <f t="shared" ca="1" si="51"/>
        <v>7879.6769590199001</v>
      </c>
      <c r="V43" s="323"/>
      <c r="W43" s="403" t="s">
        <v>362</v>
      </c>
      <c r="X43" s="394">
        <f t="shared" ref="X43:BC43" si="52">SUM(X38:X41)</f>
        <v>0</v>
      </c>
      <c r="Y43" s="394">
        <f t="shared" si="52"/>
        <v>0</v>
      </c>
      <c r="Z43" s="394">
        <f t="shared" si="52"/>
        <v>0</v>
      </c>
      <c r="AA43" s="394">
        <f t="shared" si="52"/>
        <v>0</v>
      </c>
      <c r="AB43" s="394">
        <f t="shared" si="52"/>
        <v>0</v>
      </c>
      <c r="AC43" s="394">
        <f t="shared" si="52"/>
        <v>0</v>
      </c>
      <c r="AD43" s="394">
        <f t="shared" si="52"/>
        <v>0</v>
      </c>
      <c r="AE43" s="394">
        <f t="shared" si="52"/>
        <v>0</v>
      </c>
      <c r="AF43" s="394">
        <f t="shared" si="52"/>
        <v>0</v>
      </c>
      <c r="AG43" s="394">
        <f t="shared" si="52"/>
        <v>0</v>
      </c>
      <c r="AH43" s="394">
        <f t="shared" si="52"/>
        <v>0</v>
      </c>
      <c r="AI43" s="394">
        <f t="shared" si="52"/>
        <v>0</v>
      </c>
      <c r="AJ43" s="394">
        <f t="shared" si="52"/>
        <v>0</v>
      </c>
      <c r="AK43" s="394">
        <f t="shared" si="52"/>
        <v>0</v>
      </c>
      <c r="AL43" s="394">
        <f t="shared" si="52"/>
        <v>0</v>
      </c>
      <c r="AM43" s="394">
        <f t="shared" si="52"/>
        <v>0</v>
      </c>
      <c r="AN43" s="394">
        <f t="shared" si="52"/>
        <v>0</v>
      </c>
      <c r="AO43" s="394">
        <f t="shared" si="52"/>
        <v>0</v>
      </c>
      <c r="AP43" s="394">
        <f t="shared" si="52"/>
        <v>0</v>
      </c>
      <c r="AQ43" s="394">
        <f t="shared" si="52"/>
        <v>0</v>
      </c>
      <c r="AR43" s="394">
        <f t="shared" si="52"/>
        <v>375.40276262453006</v>
      </c>
      <c r="AS43" s="394">
        <f t="shared" si="52"/>
        <v>371.37113035881947</v>
      </c>
      <c r="AT43" s="394">
        <f t="shared" si="52"/>
        <v>381.77290015477439</v>
      </c>
      <c r="AU43" s="394">
        <f t="shared" si="52"/>
        <v>384.32640978342232</v>
      </c>
      <c r="AV43" s="394">
        <f t="shared" si="52"/>
        <v>376.44346933395019</v>
      </c>
      <c r="AW43" s="394">
        <f t="shared" si="52"/>
        <v>492.39273340905891</v>
      </c>
      <c r="AX43" s="394">
        <f t="shared" si="52"/>
        <v>463.8104402756303</v>
      </c>
      <c r="AY43" s="394">
        <f t="shared" si="52"/>
        <v>371.66720152618001</v>
      </c>
      <c r="AZ43" s="394">
        <f t="shared" si="52"/>
        <v>497.0060165917796</v>
      </c>
      <c r="BA43" s="394">
        <f t="shared" si="52"/>
        <v>494.11943409182902</v>
      </c>
      <c r="BB43" s="394">
        <f t="shared" si="52"/>
        <v>478.51081665458196</v>
      </c>
      <c r="BC43" s="394">
        <f t="shared" si="52"/>
        <v>542.08706917424786</v>
      </c>
      <c r="BD43" s="394">
        <f t="shared" ref="BD43:CI43" si="53">SUM(BD38:BD41)</f>
        <v>516.38330100202995</v>
      </c>
      <c r="BE43" s="394">
        <f t="shared" si="53"/>
        <v>472.16600905272145</v>
      </c>
      <c r="BF43" s="394">
        <f t="shared" si="53"/>
        <v>609.64966118015957</v>
      </c>
      <c r="BG43" s="395">
        <f t="shared" si="53"/>
        <v>532.72870322844437</v>
      </c>
      <c r="BH43" s="394">
        <f t="shared" si="53"/>
        <v>479.23866547621981</v>
      </c>
      <c r="BI43" s="394">
        <f t="shared" ref="BI43" si="54">SUM(BI38:BI41)</f>
        <v>146.96365698545023</v>
      </c>
      <c r="BJ43" s="394">
        <f t="shared" si="53"/>
        <v>512.50015613531787</v>
      </c>
      <c r="BK43" s="394">
        <f t="shared" si="53"/>
        <v>418.83813157018079</v>
      </c>
      <c r="BL43" s="394">
        <f t="shared" ref="BL43" si="55">SUM(BL38:BL41)</f>
        <v>620.25895000000025</v>
      </c>
      <c r="BM43" s="394">
        <f t="shared" si="53"/>
        <v>599.68799999999987</v>
      </c>
      <c r="BN43" s="394">
        <f t="shared" ref="BN43:BO43" si="56">SUM(BN38:BN41)</f>
        <v>658.3760000000002</v>
      </c>
      <c r="BO43" s="394">
        <f t="shared" si="56"/>
        <v>577.60499999999979</v>
      </c>
      <c r="BP43" s="394">
        <f t="shared" si="53"/>
        <v>833.17099999999982</v>
      </c>
      <c r="BQ43" s="394">
        <f t="shared" si="53"/>
        <v>769.27100000000053</v>
      </c>
      <c r="BR43" s="394">
        <f t="shared" ref="BR43:BS43" si="57">SUM(BR38:BR41)</f>
        <v>768.97999999999979</v>
      </c>
      <c r="BS43" s="394">
        <f t="shared" si="57"/>
        <v>771.43699999999933</v>
      </c>
      <c r="BT43" s="393">
        <f t="shared" ca="1" si="53"/>
        <v>844.63233867718952</v>
      </c>
      <c r="BU43" s="393">
        <f t="shared" ca="1" si="53"/>
        <v>873.26990947594959</v>
      </c>
      <c r="BV43" s="393">
        <f t="shared" ca="1" si="53"/>
        <v>931.93099732517942</v>
      </c>
      <c r="BW43" s="393">
        <f t="shared" ca="1" si="53"/>
        <v>958.76995169662905</v>
      </c>
      <c r="BX43" s="393">
        <f t="shared" ca="1" si="53"/>
        <v>1029.1678317674771</v>
      </c>
      <c r="BY43" s="393">
        <f t="shared" ca="1" si="53"/>
        <v>1061.9569611772026</v>
      </c>
      <c r="BZ43" s="393">
        <f t="shared" ca="1" si="53"/>
        <v>1084.5912548349036</v>
      </c>
      <c r="CA43" s="393">
        <f t="shared" ca="1" si="53"/>
        <v>1103.0614701002446</v>
      </c>
      <c r="CB43" s="393">
        <f t="shared" ca="1" si="53"/>
        <v>1190.9421045514332</v>
      </c>
      <c r="CC43" s="393">
        <f t="shared" ca="1" si="53"/>
        <v>1253.2261839659459</v>
      </c>
      <c r="CD43" s="393">
        <f t="shared" ca="1" si="53"/>
        <v>1298.7755055756447</v>
      </c>
      <c r="CE43" s="393">
        <f t="shared" ca="1" si="53"/>
        <v>1335.8340843790245</v>
      </c>
      <c r="CF43" s="393">
        <f t="shared" ca="1" si="53"/>
        <v>1417.1226602065349</v>
      </c>
      <c r="CG43" s="393">
        <f t="shared" ca="1" si="53"/>
        <v>1447.6077896845059</v>
      </c>
      <c r="CH43" s="393">
        <f t="shared" ca="1" si="53"/>
        <v>1480.6440705891623</v>
      </c>
      <c r="CI43" s="393">
        <f t="shared" ca="1" si="53"/>
        <v>1497.0852536911161</v>
      </c>
      <c r="CJ43" s="393">
        <f t="shared" ref="CJ43:CM43" ca="1" si="58">SUM(CJ38:CJ41)</f>
        <v>1617.2953680397113</v>
      </c>
      <c r="CK43" s="393">
        <f t="shared" ca="1" si="58"/>
        <v>1679.437929533537</v>
      </c>
      <c r="CL43" s="393">
        <f t="shared" ca="1" si="58"/>
        <v>1731.517174748984</v>
      </c>
      <c r="CM43" s="393">
        <f t="shared" ca="1" si="58"/>
        <v>1753.2148933962048</v>
      </c>
      <c r="CN43" s="393">
        <f t="shared" ref="CN43:CQ43" ca="1" si="59">SUM(CN38:CN41)</f>
        <v>1886.1273405764396</v>
      </c>
      <c r="CO43" s="393">
        <f t="shared" ca="1" si="59"/>
        <v>1954.4311409444804</v>
      </c>
      <c r="CP43" s="393">
        <f t="shared" ca="1" si="59"/>
        <v>2004.5226522603029</v>
      </c>
      <c r="CQ43" s="393">
        <f t="shared" ca="1" si="59"/>
        <v>2034.5958252386811</v>
      </c>
    </row>
    <row r="44" spans="1:95" s="325" customFormat="1" ht="3.75" customHeight="1">
      <c r="A44" s="376"/>
      <c r="P44" s="326"/>
      <c r="Q44" s="326"/>
      <c r="R44" s="326"/>
      <c r="S44" s="326"/>
      <c r="T44" s="326"/>
      <c r="U44" s="326"/>
      <c r="V44" s="323"/>
      <c r="W44" s="376"/>
      <c r="X44" s="329"/>
      <c r="Y44" s="329"/>
      <c r="Z44" s="329"/>
      <c r="AA44" s="329"/>
      <c r="AB44" s="329"/>
      <c r="AC44" s="329"/>
      <c r="AD44" s="329"/>
      <c r="AE44" s="329"/>
      <c r="AF44" s="329"/>
      <c r="AG44" s="329"/>
      <c r="AH44" s="329"/>
      <c r="AI44" s="329"/>
      <c r="AJ44" s="329"/>
      <c r="AK44" s="329"/>
      <c r="AL44" s="329"/>
      <c r="AM44" s="329"/>
      <c r="AN44" s="329"/>
      <c r="AO44" s="329"/>
      <c r="AP44" s="329"/>
      <c r="AQ44" s="329"/>
      <c r="AR44" s="329"/>
      <c r="AS44" s="329"/>
      <c r="AT44" s="329"/>
      <c r="AU44" s="329"/>
      <c r="AV44" s="329"/>
      <c r="AW44" s="329"/>
      <c r="AX44" s="329"/>
      <c r="AY44" s="329"/>
      <c r="AZ44" s="329"/>
      <c r="BA44" s="329"/>
      <c r="BB44" s="329"/>
      <c r="BC44" s="329"/>
      <c r="BD44" s="329"/>
      <c r="BE44" s="329"/>
      <c r="BF44" s="329"/>
      <c r="BG44" s="349"/>
      <c r="BH44" s="329"/>
      <c r="BI44" s="329"/>
      <c r="BJ44" s="329"/>
      <c r="BK44" s="329"/>
      <c r="BL44" s="329"/>
      <c r="BM44" s="329"/>
      <c r="BN44" s="329"/>
      <c r="BO44" s="329"/>
      <c r="BP44" s="329"/>
      <c r="BQ44" s="329"/>
      <c r="BR44" s="329"/>
      <c r="BS44" s="329"/>
      <c r="BT44" s="348"/>
      <c r="BU44" s="348"/>
      <c r="BV44" s="348"/>
      <c r="BW44" s="348"/>
      <c r="BX44" s="348"/>
      <c r="BY44" s="348"/>
      <c r="BZ44" s="348"/>
      <c r="CA44" s="348"/>
      <c r="CB44" s="348"/>
      <c r="CC44" s="348"/>
      <c r="CD44" s="348"/>
      <c r="CE44" s="348"/>
      <c r="CF44" s="348"/>
      <c r="CG44" s="348"/>
      <c r="CH44" s="348"/>
      <c r="CI44" s="348"/>
      <c r="CJ44" s="348"/>
      <c r="CK44" s="348"/>
      <c r="CL44" s="348"/>
      <c r="CM44" s="348"/>
      <c r="CN44" s="348"/>
      <c r="CO44" s="348"/>
      <c r="CP44" s="348"/>
      <c r="CQ44" s="348"/>
    </row>
    <row r="45" spans="1:95" s="325" customFormat="1" ht="11.25" customHeight="1">
      <c r="A45" s="404" t="s">
        <v>361</v>
      </c>
      <c r="B45" s="402">
        <f>('Income Statement'!G38)/1000</f>
        <v>0</v>
      </c>
      <c r="C45" s="402">
        <f>('Income Statement'!H38)/1000</f>
        <v>0</v>
      </c>
      <c r="D45" s="402">
        <f>('Income Statement'!I38)/1000</f>
        <v>0</v>
      </c>
      <c r="E45" s="402">
        <f>('Income Statement'!J38)/1000</f>
        <v>0</v>
      </c>
      <c r="F45" s="402">
        <f>('Income Statement'!K38)/1000</f>
        <v>0</v>
      </c>
      <c r="G45" s="402">
        <f>('Income Statement'!L38)/1000</f>
        <v>0</v>
      </c>
      <c r="H45" s="402">
        <f>('Income Statement'!M38)/1000</f>
        <v>0</v>
      </c>
      <c r="I45" s="402">
        <f>('Income Statement'!N38)/1000</f>
        <v>-103.51901568962003</v>
      </c>
      <c r="J45" s="402">
        <f>('Income Statement'!O38)/1000</f>
        <v>-90.536003155740019</v>
      </c>
      <c r="K45" s="402">
        <f>('Income Statement'!P38)/1000</f>
        <v>-39.140734756239993</v>
      </c>
      <c r="L45" s="402">
        <f>('Income Statement'!Q38)/1000</f>
        <v>-50.885804104534742</v>
      </c>
      <c r="M45" s="402">
        <f>('Income Statement'!R38)/1000</f>
        <v>-18.831918637051661</v>
      </c>
      <c r="N45" s="402">
        <f>('Income Statement'!S38)/1000</f>
        <v>-33.393999999999998</v>
      </c>
      <c r="O45" s="402">
        <f>('Income Statement'!T38)/1000</f>
        <v>-71.081999999999994</v>
      </c>
      <c r="P45" s="401">
        <f ca="1">('Income Statement'!U38)/1000</f>
        <v>-90.215079929373658</v>
      </c>
      <c r="Q45" s="401">
        <f ca="1">('Income Statement'!V38)/1000</f>
        <v>-106.96943794699573</v>
      </c>
      <c r="R45" s="401">
        <f ca="1">('Income Statement'!W38)/1000</f>
        <v>-126.96944696180127</v>
      </c>
      <c r="S45" s="401">
        <f ca="1">('Income Statement'!X38)/1000</f>
        <v>-146.06149435428298</v>
      </c>
      <c r="T45" s="401">
        <f ca="1">('Income Statement'!Y38)/1000</f>
        <v>-169.53663414296093</v>
      </c>
      <c r="U45" s="401">
        <f ca="1">('Income Statement'!Z38)/1000</f>
        <v>-196.99192397549766</v>
      </c>
      <c r="V45" s="323"/>
      <c r="W45" s="404" t="s">
        <v>361</v>
      </c>
      <c r="X45" s="398">
        <f>('Income Statement'!BE38)/1000</f>
        <v>0</v>
      </c>
      <c r="Y45" s="398">
        <f>('Income Statement'!BF38)/1000</f>
        <v>0</v>
      </c>
      <c r="Z45" s="398">
        <f>('Income Statement'!BG38)/1000</f>
        <v>0</v>
      </c>
      <c r="AA45" s="398">
        <f>('Income Statement'!BH38)/1000</f>
        <v>0</v>
      </c>
      <c r="AB45" s="398">
        <f>('Income Statement'!BI38)/1000</f>
        <v>0</v>
      </c>
      <c r="AC45" s="398">
        <f>('Income Statement'!BJ38)/1000</f>
        <v>0</v>
      </c>
      <c r="AD45" s="398">
        <f>('Income Statement'!BK38)/1000</f>
        <v>0</v>
      </c>
      <c r="AE45" s="398">
        <f>('Income Statement'!BL38)/1000</f>
        <v>0</v>
      </c>
      <c r="AF45" s="398">
        <f>('Income Statement'!BM38)/1000</f>
        <v>0</v>
      </c>
      <c r="AG45" s="398">
        <f>('Income Statement'!BN38)/1000</f>
        <v>0</v>
      </c>
      <c r="AH45" s="398">
        <f>('Income Statement'!BO38)/1000</f>
        <v>0</v>
      </c>
      <c r="AI45" s="398">
        <f>('Income Statement'!BP38)/1000</f>
        <v>0</v>
      </c>
      <c r="AJ45" s="398">
        <f>('Income Statement'!BQ38)/1000</f>
        <v>0</v>
      </c>
      <c r="AK45" s="398">
        <f>('Income Statement'!BR38)/1000</f>
        <v>0</v>
      </c>
      <c r="AL45" s="398">
        <f>('Income Statement'!BS38)/1000</f>
        <v>0</v>
      </c>
      <c r="AM45" s="398">
        <f>('Income Statement'!BT38)/1000</f>
        <v>0</v>
      </c>
      <c r="AN45" s="398">
        <f>('Income Statement'!BU38)/1000</f>
        <v>0</v>
      </c>
      <c r="AO45" s="398">
        <f>('Income Statement'!BV38)/1000</f>
        <v>0</v>
      </c>
      <c r="AP45" s="398">
        <f>('Income Statement'!BW38)/1000</f>
        <v>0</v>
      </c>
      <c r="AQ45" s="398">
        <f>('Income Statement'!BX38)/1000</f>
        <v>0</v>
      </c>
      <c r="AR45" s="398">
        <f>('Income Statement'!BY38)/1000</f>
        <v>-21.986162895230002</v>
      </c>
      <c r="AS45" s="398">
        <f>('Income Statement'!BZ38)/1000</f>
        <v>-25.891078216180002</v>
      </c>
      <c r="AT45" s="398">
        <f>('Income Statement'!CA38)/1000</f>
        <v>-24.800971705690003</v>
      </c>
      <c r="AU45" s="398">
        <f>('Income Statement'!CB38)/1000</f>
        <v>-30.840802872520026</v>
      </c>
      <c r="AV45" s="398">
        <f>('Income Statement'!CC38)/1000</f>
        <v>-23.629202231819995</v>
      </c>
      <c r="AW45" s="398">
        <f>('Income Statement'!CD38)/1000</f>
        <v>-32.437565136760007</v>
      </c>
      <c r="AX45" s="398">
        <f>('Income Statement'!CE38)/1000</f>
        <v>-26.222502580699999</v>
      </c>
      <c r="AY45" s="398">
        <f>('Income Statement'!CF38)/1000</f>
        <v>-8.2467332064600196</v>
      </c>
      <c r="AZ45" s="398">
        <f>('Income Statement'!CG38)/1000</f>
        <v>-9.6765772614799985</v>
      </c>
      <c r="BA45" s="398">
        <f>('Income Statement'!CH38)/1000</f>
        <v>-11.150520583269985</v>
      </c>
      <c r="BB45" s="398">
        <f>('Income Statement'!CI38)/1000</f>
        <v>-10.256120852330012</v>
      </c>
      <c r="BC45" s="398">
        <f>('Income Statement'!CJ38)/1000</f>
        <v>-8.0575160591599992</v>
      </c>
      <c r="BD45" s="398">
        <f>('Income Statement'!CK38)/1000</f>
        <v>-9.9137021603300024</v>
      </c>
      <c r="BE45" s="398">
        <f>('Income Statement'!CL38)/1000</f>
        <v>-8.0989447861499873</v>
      </c>
      <c r="BF45" s="398">
        <f>('Income Statement'!CM38)/1000</f>
        <v>-14.836875526910008</v>
      </c>
      <c r="BG45" s="399">
        <f>('Income Statement'!CN38)/1000</f>
        <v>-18.036281631144746</v>
      </c>
      <c r="BH45" s="398">
        <f>('Income Statement'!CO38)/1000</f>
        <v>-10.052548907850003</v>
      </c>
      <c r="BI45" s="398">
        <f>('Income Statement'!CP38)/1000</f>
        <v>-0.8640234152000339</v>
      </c>
      <c r="BJ45" s="398">
        <f>('Income Statement'!CQ38)/1000</f>
        <v>-11.450970428553417</v>
      </c>
      <c r="BK45" s="398">
        <f>('Income Statement'!CR38)/1000</f>
        <v>3.5356241145517924</v>
      </c>
      <c r="BL45" s="398">
        <f>('Income Statement'!CS38)/1000</f>
        <v>-17.154</v>
      </c>
      <c r="BM45" s="398">
        <f>('Income Statement'!CT38)/1000</f>
        <v>-15.002000000000001</v>
      </c>
      <c r="BN45" s="398">
        <f>('Income Statement'!CU38)/1000</f>
        <v>-12.941000000000001</v>
      </c>
      <c r="BO45" s="398">
        <f>('Income Statement'!CV38)/1000</f>
        <v>11.702999999999999</v>
      </c>
      <c r="BP45" s="398">
        <f>('Income Statement'!CW38)/1000</f>
        <v>-28.436</v>
      </c>
      <c r="BQ45" s="398">
        <f>('Income Statement'!CX38)/1000</f>
        <v>-19.975999999999999</v>
      </c>
      <c r="BR45" s="398">
        <f>('Income Statement'!CY38)/1000</f>
        <v>-20.797999999999998</v>
      </c>
      <c r="BS45" s="398">
        <f>('Income Statement'!CZ38)/1000</f>
        <v>-1.8720000000000001</v>
      </c>
      <c r="BT45" s="397">
        <f ca="1">('Income Statement'!DA38)/1000</f>
        <v>-21.115808466929757</v>
      </c>
      <c r="BU45" s="397">
        <f ca="1">('Income Statement'!DB38)/1000</f>
        <v>-21.831747736898716</v>
      </c>
      <c r="BV45" s="397">
        <f ca="1">('Income Statement'!DC38)/1000</f>
        <v>-23.298274933129477</v>
      </c>
      <c r="BW45" s="397">
        <f ca="1">('Income Statement'!DD38)/1000</f>
        <v>-23.969248792415719</v>
      </c>
      <c r="BX45" s="397">
        <f ca="1">('Income Statement'!DE38)/1000</f>
        <v>-25.729195794186928</v>
      </c>
      <c r="BY45" s="397">
        <f ca="1">('Income Statement'!DF38)/1000</f>
        <v>-26.548924029430079</v>
      </c>
      <c r="BZ45" s="397">
        <f ca="1">('Income Statement'!DG38)/1000</f>
        <v>-27.114781370872588</v>
      </c>
      <c r="CA45" s="397">
        <f ca="1">('Income Statement'!DH38)/1000</f>
        <v>-27.576536752506122</v>
      </c>
      <c r="CB45" s="397">
        <f ca="1">('Income Statement'!DI38)/1000</f>
        <v>-29.773552613785846</v>
      </c>
      <c r="CC45" s="397">
        <f ca="1">('Income Statement'!DJ38)/1000</f>
        <v>-31.330654599148669</v>
      </c>
      <c r="CD45" s="397">
        <f ca="1">('Income Statement'!DK38)/1000</f>
        <v>-32.469387639391137</v>
      </c>
      <c r="CE45" s="397">
        <f ca="1">('Income Statement'!DL38)/1000</f>
        <v>-33.395852109475619</v>
      </c>
      <c r="CF45" s="397">
        <f ca="1">('Income Statement'!DM38)/1000</f>
        <v>-35.428066505163379</v>
      </c>
      <c r="CG45" s="397">
        <f ca="1">('Income Statement'!DN38)/1000</f>
        <v>-36.190194742112638</v>
      </c>
      <c r="CH45" s="397">
        <f ca="1">('Income Statement'!DO38)/1000</f>
        <v>-37.016101764729072</v>
      </c>
      <c r="CI45" s="397">
        <f ca="1">('Income Statement'!DP38)/1000</f>
        <v>-37.427131342277882</v>
      </c>
      <c r="CJ45" s="397">
        <f ca="1">('Income Statement'!DQ38)/1000</f>
        <v>-40.432384200992814</v>
      </c>
      <c r="CK45" s="397">
        <f ca="1">('Income Statement'!DR38)/1000</f>
        <v>-41.985948238338423</v>
      </c>
      <c r="CL45" s="397">
        <f ca="1">('Income Statement'!DS38)/1000</f>
        <v>-43.287929368724598</v>
      </c>
      <c r="CM45" s="397">
        <f ca="1">('Income Statement'!DT38)/1000</f>
        <v>-43.830372334905121</v>
      </c>
      <c r="CN45" s="397">
        <f ca="1">('Income Statement'!DU38)/1000</f>
        <v>-47.153183514410991</v>
      </c>
      <c r="CO45" s="397">
        <f ca="1">('Income Statement'!DV38)/1000</f>
        <v>-48.860778523612034</v>
      </c>
      <c r="CP45" s="397">
        <f ca="1">('Income Statement'!DW38)/1000</f>
        <v>-50.113066306507584</v>
      </c>
      <c r="CQ45" s="397">
        <f ca="1">('Income Statement'!DX38)/1000</f>
        <v>-50.864895630967034</v>
      </c>
    </row>
    <row r="46" spans="1:95" s="325" customFormat="1" ht="3.75" customHeight="1">
      <c r="A46" s="376"/>
      <c r="P46" s="326"/>
      <c r="Q46" s="326"/>
      <c r="R46" s="326"/>
      <c r="S46" s="326"/>
      <c r="T46" s="326"/>
      <c r="U46" s="326"/>
      <c r="V46" s="323"/>
      <c r="W46" s="376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29"/>
      <c r="AM46" s="329"/>
      <c r="AN46" s="329"/>
      <c r="AO46" s="329"/>
      <c r="AP46" s="329"/>
      <c r="AQ46" s="329"/>
      <c r="AR46" s="329"/>
      <c r="AS46" s="329"/>
      <c r="AT46" s="329"/>
      <c r="AU46" s="329"/>
      <c r="AV46" s="329"/>
      <c r="AW46" s="329"/>
      <c r="AX46" s="329"/>
      <c r="AY46" s="329"/>
      <c r="AZ46" s="329"/>
      <c r="BA46" s="329"/>
      <c r="BB46" s="329"/>
      <c r="BC46" s="329"/>
      <c r="BD46" s="329"/>
      <c r="BE46" s="329"/>
      <c r="BF46" s="329"/>
      <c r="BG46" s="349"/>
      <c r="BH46" s="329"/>
      <c r="BI46" s="329"/>
      <c r="BJ46" s="329"/>
      <c r="BK46" s="329"/>
      <c r="BL46" s="329"/>
      <c r="BM46" s="329"/>
      <c r="BN46" s="329"/>
      <c r="BO46" s="329"/>
      <c r="BP46" s="329"/>
      <c r="BQ46" s="329"/>
      <c r="BR46" s="329"/>
      <c r="BS46" s="329"/>
      <c r="BT46" s="348"/>
      <c r="BU46" s="348"/>
      <c r="BV46" s="348"/>
      <c r="BW46" s="348"/>
      <c r="BX46" s="348"/>
      <c r="BY46" s="348"/>
      <c r="BZ46" s="348"/>
      <c r="CA46" s="348"/>
      <c r="CB46" s="348"/>
      <c r="CC46" s="348"/>
      <c r="CD46" s="348"/>
      <c r="CE46" s="348"/>
      <c r="CF46" s="348"/>
      <c r="CG46" s="348"/>
      <c r="CH46" s="348"/>
      <c r="CI46" s="348"/>
      <c r="CJ46" s="348"/>
      <c r="CK46" s="348"/>
      <c r="CL46" s="348"/>
      <c r="CM46" s="348"/>
      <c r="CN46" s="348"/>
      <c r="CO46" s="348"/>
      <c r="CP46" s="348"/>
      <c r="CQ46" s="348"/>
    </row>
    <row r="47" spans="1:95" s="325" customFormat="1" ht="11.25" customHeight="1">
      <c r="A47" s="403" t="s">
        <v>360</v>
      </c>
      <c r="B47" s="394">
        <f t="shared" ref="B47:S47" si="60">B43+B45</f>
        <v>0</v>
      </c>
      <c r="C47" s="394">
        <f t="shared" si="60"/>
        <v>0</v>
      </c>
      <c r="D47" s="394">
        <f t="shared" si="60"/>
        <v>0</v>
      </c>
      <c r="E47" s="394">
        <f t="shared" si="60"/>
        <v>0</v>
      </c>
      <c r="F47" s="394">
        <f t="shared" si="60"/>
        <v>0</v>
      </c>
      <c r="G47" s="394">
        <f t="shared" si="60"/>
        <v>0</v>
      </c>
      <c r="H47" s="394">
        <f t="shared" si="60"/>
        <v>0</v>
      </c>
      <c r="I47" s="394">
        <f t="shared" si="60"/>
        <v>1409.3541872319258</v>
      </c>
      <c r="J47" s="394">
        <f t="shared" si="60"/>
        <v>1613.7778413890794</v>
      </c>
      <c r="K47" s="394">
        <f t="shared" si="60"/>
        <v>1972.5826017561981</v>
      </c>
      <c r="L47" s="394">
        <f t="shared" si="60"/>
        <v>2080.0418703588202</v>
      </c>
      <c r="M47" s="394">
        <f t="shared" si="60"/>
        <v>1538.7086915301159</v>
      </c>
      <c r="N47" s="394">
        <f t="shared" si="60"/>
        <v>2422.5339500000009</v>
      </c>
      <c r="O47" s="394">
        <f t="shared" si="60"/>
        <v>3071.7769999999996</v>
      </c>
      <c r="P47" s="393">
        <f t="shared" ca="1" si="60"/>
        <v>3518.3881172455713</v>
      </c>
      <c r="Q47" s="393">
        <f t="shared" ca="1" si="60"/>
        <v>4171.8080799328363</v>
      </c>
      <c r="R47" s="393">
        <f t="shared" ca="1" si="60"/>
        <v>4951.8084315102496</v>
      </c>
      <c r="S47" s="393">
        <f t="shared" ca="1" si="60"/>
        <v>5696.3982798170355</v>
      </c>
      <c r="T47" s="393">
        <f t="shared" ref="T47:U47" ca="1" si="61">T43+T45</f>
        <v>6611.9287315754782</v>
      </c>
      <c r="U47" s="393">
        <f t="shared" ca="1" si="61"/>
        <v>7682.6850350444029</v>
      </c>
      <c r="V47" s="323"/>
      <c r="W47" s="403" t="s">
        <v>360</v>
      </c>
      <c r="X47" s="394">
        <f t="shared" ref="X47:BC47" si="62">X43+X45</f>
        <v>0</v>
      </c>
      <c r="Y47" s="394">
        <f t="shared" si="62"/>
        <v>0</v>
      </c>
      <c r="Z47" s="394">
        <f t="shared" si="62"/>
        <v>0</v>
      </c>
      <c r="AA47" s="394">
        <f t="shared" si="62"/>
        <v>0</v>
      </c>
      <c r="AB47" s="394">
        <f t="shared" si="62"/>
        <v>0</v>
      </c>
      <c r="AC47" s="394">
        <f t="shared" si="62"/>
        <v>0</v>
      </c>
      <c r="AD47" s="394">
        <f t="shared" si="62"/>
        <v>0</v>
      </c>
      <c r="AE47" s="394">
        <f t="shared" si="62"/>
        <v>0</v>
      </c>
      <c r="AF47" s="394">
        <f t="shared" si="62"/>
        <v>0</v>
      </c>
      <c r="AG47" s="394">
        <f t="shared" si="62"/>
        <v>0</v>
      </c>
      <c r="AH47" s="394">
        <f t="shared" si="62"/>
        <v>0</v>
      </c>
      <c r="AI47" s="394">
        <f t="shared" si="62"/>
        <v>0</v>
      </c>
      <c r="AJ47" s="394">
        <f t="shared" si="62"/>
        <v>0</v>
      </c>
      <c r="AK47" s="394">
        <f t="shared" si="62"/>
        <v>0</v>
      </c>
      <c r="AL47" s="394">
        <f t="shared" si="62"/>
        <v>0</v>
      </c>
      <c r="AM47" s="394">
        <f t="shared" si="62"/>
        <v>0</v>
      </c>
      <c r="AN47" s="394">
        <f t="shared" si="62"/>
        <v>0</v>
      </c>
      <c r="AO47" s="394">
        <f t="shared" si="62"/>
        <v>0</v>
      </c>
      <c r="AP47" s="394">
        <f t="shared" si="62"/>
        <v>0</v>
      </c>
      <c r="AQ47" s="394">
        <f t="shared" si="62"/>
        <v>0</v>
      </c>
      <c r="AR47" s="394">
        <f t="shared" si="62"/>
        <v>353.41659972930006</v>
      </c>
      <c r="AS47" s="394">
        <f t="shared" si="62"/>
        <v>345.48005214263947</v>
      </c>
      <c r="AT47" s="394">
        <f t="shared" si="62"/>
        <v>356.97192844908437</v>
      </c>
      <c r="AU47" s="394">
        <f t="shared" si="62"/>
        <v>353.48560691090228</v>
      </c>
      <c r="AV47" s="394">
        <f t="shared" si="62"/>
        <v>352.8142671021302</v>
      </c>
      <c r="AW47" s="394">
        <f t="shared" si="62"/>
        <v>459.95516827229892</v>
      </c>
      <c r="AX47" s="394">
        <f t="shared" si="62"/>
        <v>437.5879376949303</v>
      </c>
      <c r="AY47" s="394">
        <f t="shared" si="62"/>
        <v>363.42046831971999</v>
      </c>
      <c r="AZ47" s="394">
        <f t="shared" si="62"/>
        <v>487.32943933029958</v>
      </c>
      <c r="BA47" s="394">
        <f t="shared" si="62"/>
        <v>482.96891350855901</v>
      </c>
      <c r="BB47" s="394">
        <f t="shared" si="62"/>
        <v>468.25469580225194</v>
      </c>
      <c r="BC47" s="394">
        <f t="shared" si="62"/>
        <v>534.02955311508788</v>
      </c>
      <c r="BD47" s="394">
        <f t="shared" ref="BD47:CI47" si="63">BD43+BD45</f>
        <v>506.46959884169996</v>
      </c>
      <c r="BE47" s="394">
        <f t="shared" si="63"/>
        <v>464.06706426657144</v>
      </c>
      <c r="BF47" s="394">
        <f t="shared" si="63"/>
        <v>594.81278565324953</v>
      </c>
      <c r="BG47" s="395">
        <f t="shared" si="63"/>
        <v>514.69242159729959</v>
      </c>
      <c r="BH47" s="394">
        <f t="shared" si="63"/>
        <v>469.18611656836981</v>
      </c>
      <c r="BI47" s="394">
        <f t="shared" ref="BI47" si="64">BI43+BI45</f>
        <v>146.09963357025021</v>
      </c>
      <c r="BJ47" s="394">
        <f t="shared" si="63"/>
        <v>501.04918570676443</v>
      </c>
      <c r="BK47" s="394">
        <f t="shared" si="63"/>
        <v>422.3737556847326</v>
      </c>
      <c r="BL47" s="394">
        <f t="shared" ref="BL47" si="65">BL43+BL45</f>
        <v>603.10495000000026</v>
      </c>
      <c r="BM47" s="394">
        <f t="shared" si="63"/>
        <v>584.68599999999992</v>
      </c>
      <c r="BN47" s="394">
        <f t="shared" ref="BN47:BO47" si="66">BN43+BN45</f>
        <v>645.43500000000017</v>
      </c>
      <c r="BO47" s="394">
        <f t="shared" si="66"/>
        <v>589.30799999999977</v>
      </c>
      <c r="BP47" s="394">
        <f t="shared" si="63"/>
        <v>804.73499999999979</v>
      </c>
      <c r="BQ47" s="394">
        <f t="shared" si="63"/>
        <v>749.29500000000053</v>
      </c>
      <c r="BR47" s="394">
        <f t="shared" ref="BR47:BS47" si="67">BR43+BR45</f>
        <v>748.18199999999979</v>
      </c>
      <c r="BS47" s="394">
        <f t="shared" si="67"/>
        <v>769.56499999999937</v>
      </c>
      <c r="BT47" s="393">
        <f t="shared" ca="1" si="63"/>
        <v>823.51653021025982</v>
      </c>
      <c r="BU47" s="393">
        <f t="shared" ca="1" si="63"/>
        <v>851.43816173905088</v>
      </c>
      <c r="BV47" s="393">
        <f t="shared" ca="1" si="63"/>
        <v>908.63272239204991</v>
      </c>
      <c r="BW47" s="393">
        <f t="shared" ca="1" si="63"/>
        <v>934.80070290421338</v>
      </c>
      <c r="BX47" s="393">
        <f t="shared" ca="1" si="63"/>
        <v>1003.4386359732902</v>
      </c>
      <c r="BY47" s="393">
        <f t="shared" ca="1" si="63"/>
        <v>1035.4080371477726</v>
      </c>
      <c r="BZ47" s="393">
        <f t="shared" ca="1" si="63"/>
        <v>1057.476473464031</v>
      </c>
      <c r="CA47" s="393">
        <f t="shared" ca="1" si="63"/>
        <v>1075.4849333477384</v>
      </c>
      <c r="CB47" s="393">
        <f t="shared" ca="1" si="63"/>
        <v>1161.1685519376474</v>
      </c>
      <c r="CC47" s="393">
        <f t="shared" ca="1" si="63"/>
        <v>1221.8955293667973</v>
      </c>
      <c r="CD47" s="393">
        <f t="shared" ca="1" si="63"/>
        <v>1266.3061179362535</v>
      </c>
      <c r="CE47" s="393">
        <f t="shared" ca="1" si="63"/>
        <v>1302.438232269549</v>
      </c>
      <c r="CF47" s="393">
        <f t="shared" ca="1" si="63"/>
        <v>1381.6945937013716</v>
      </c>
      <c r="CG47" s="393">
        <f t="shared" ca="1" si="63"/>
        <v>1411.4175949423932</v>
      </c>
      <c r="CH47" s="393">
        <f t="shared" ca="1" si="63"/>
        <v>1443.6279688244333</v>
      </c>
      <c r="CI47" s="393">
        <f t="shared" ca="1" si="63"/>
        <v>1459.6581223488383</v>
      </c>
      <c r="CJ47" s="393">
        <f t="shared" ref="CJ47:CM47" ca="1" si="68">CJ43+CJ45</f>
        <v>1576.8629838387185</v>
      </c>
      <c r="CK47" s="393">
        <f t="shared" ca="1" si="68"/>
        <v>1637.4519812951987</v>
      </c>
      <c r="CL47" s="393">
        <f t="shared" ca="1" si="68"/>
        <v>1688.2292453802593</v>
      </c>
      <c r="CM47" s="393">
        <f t="shared" ca="1" si="68"/>
        <v>1709.3845210612997</v>
      </c>
      <c r="CN47" s="393">
        <f t="shared" ref="CN47:CQ47" ca="1" si="69">CN43+CN45</f>
        <v>1838.9741570620286</v>
      </c>
      <c r="CO47" s="393">
        <f t="shared" ca="1" si="69"/>
        <v>1905.5703624208684</v>
      </c>
      <c r="CP47" s="393">
        <f t="shared" ca="1" si="69"/>
        <v>1954.4095859537954</v>
      </c>
      <c r="CQ47" s="393">
        <f t="shared" ca="1" si="69"/>
        <v>1983.730929607714</v>
      </c>
    </row>
    <row r="48" spans="1:95" s="325" customFormat="1" ht="3.75" customHeight="1">
      <c r="A48" s="376"/>
      <c r="P48" s="326"/>
      <c r="Q48" s="326"/>
      <c r="R48" s="326"/>
      <c r="S48" s="326"/>
      <c r="T48" s="326"/>
      <c r="U48" s="326"/>
      <c r="V48" s="323"/>
      <c r="W48" s="376"/>
      <c r="BG48" s="327"/>
      <c r="BT48" s="326"/>
      <c r="BU48" s="326"/>
      <c r="BV48" s="326"/>
      <c r="BW48" s="326"/>
      <c r="BX48" s="326"/>
      <c r="BY48" s="326"/>
      <c r="BZ48" s="326"/>
      <c r="CA48" s="326"/>
      <c r="CB48" s="326"/>
      <c r="CC48" s="326"/>
      <c r="CD48" s="326"/>
      <c r="CE48" s="326"/>
      <c r="CF48" s="326"/>
      <c r="CG48" s="326"/>
      <c r="CH48" s="326"/>
      <c r="CI48" s="326"/>
      <c r="CJ48" s="326"/>
      <c r="CK48" s="326"/>
      <c r="CL48" s="326"/>
      <c r="CM48" s="326"/>
      <c r="CN48" s="326"/>
      <c r="CO48" s="326"/>
      <c r="CP48" s="326"/>
      <c r="CQ48" s="326"/>
    </row>
    <row r="49" spans="1:95" s="325" customFormat="1" ht="11.25" customHeight="1">
      <c r="A49" s="400" t="s">
        <v>359</v>
      </c>
      <c r="B49" s="402">
        <f>('Income Statement'!G40)/1000</f>
        <v>0</v>
      </c>
      <c r="C49" s="402">
        <f>('Income Statement'!H40)/1000</f>
        <v>0</v>
      </c>
      <c r="D49" s="402">
        <f>('Income Statement'!I40)/1000</f>
        <v>0</v>
      </c>
      <c r="E49" s="402">
        <f>('Income Statement'!J40)/1000</f>
        <v>0</v>
      </c>
      <c r="F49" s="402">
        <f>('Income Statement'!K40)/1000</f>
        <v>0</v>
      </c>
      <c r="G49" s="402">
        <f>('Income Statement'!L40)/1000</f>
        <v>0</v>
      </c>
      <c r="H49" s="402">
        <f>('Income Statement'!M40)/1000</f>
        <v>0</v>
      </c>
      <c r="I49" s="402">
        <f>('Income Statement'!N40)/1000</f>
        <v>0</v>
      </c>
      <c r="J49" s="402">
        <f>('Income Statement'!O40)/1000</f>
        <v>0</v>
      </c>
      <c r="K49" s="402">
        <f>('Income Statement'!P40)/1000</f>
        <v>0</v>
      </c>
      <c r="L49" s="402">
        <f>('Income Statement'!Q40)/1000</f>
        <v>-5.8207660913467408E-13</v>
      </c>
      <c r="M49" s="402">
        <f>('Income Statement'!R40)/1000</f>
        <v>0</v>
      </c>
      <c r="N49" s="402">
        <f>('Income Statement'!S40)/1000</f>
        <v>-34.68</v>
      </c>
      <c r="O49" s="402">
        <f>('Income Statement'!T40)/1000</f>
        <v>20.53</v>
      </c>
      <c r="P49" s="401">
        <f>('Income Statement'!U40)/1000</f>
        <v>0</v>
      </c>
      <c r="Q49" s="401">
        <f>('Income Statement'!V40)/1000</f>
        <v>0</v>
      </c>
      <c r="R49" s="401">
        <f>('Income Statement'!W40)/1000</f>
        <v>0</v>
      </c>
      <c r="S49" s="401">
        <f>('Income Statement'!X40)/1000</f>
        <v>0</v>
      </c>
      <c r="T49" s="401">
        <f>('Income Statement'!Y40)/1000</f>
        <v>0</v>
      </c>
      <c r="U49" s="401">
        <f>('Income Statement'!Z40)/1000</f>
        <v>0</v>
      </c>
      <c r="V49" s="323"/>
      <c r="W49" s="400" t="s">
        <v>359</v>
      </c>
      <c r="X49" s="398">
        <f>('Income Statement'!BE40)/1000</f>
        <v>0</v>
      </c>
      <c r="Y49" s="398">
        <f>('Income Statement'!BF40)/1000</f>
        <v>0</v>
      </c>
      <c r="Z49" s="398">
        <f>('Income Statement'!BG40)/1000</f>
        <v>0</v>
      </c>
      <c r="AA49" s="398">
        <f>('Income Statement'!BH40)/1000</f>
        <v>0</v>
      </c>
      <c r="AB49" s="398">
        <f>('Income Statement'!BI40)/1000</f>
        <v>0</v>
      </c>
      <c r="AC49" s="398">
        <f>('Income Statement'!BJ40)/1000</f>
        <v>0</v>
      </c>
      <c r="AD49" s="398">
        <f>('Income Statement'!BK40)/1000</f>
        <v>0</v>
      </c>
      <c r="AE49" s="398">
        <f>('Income Statement'!BL40)/1000</f>
        <v>0</v>
      </c>
      <c r="AF49" s="398">
        <f>('Income Statement'!BM40)/1000</f>
        <v>0</v>
      </c>
      <c r="AG49" s="398">
        <f>('Income Statement'!BN40)/1000</f>
        <v>0</v>
      </c>
      <c r="AH49" s="398">
        <f>('Income Statement'!BO40)/1000</f>
        <v>0</v>
      </c>
      <c r="AI49" s="398">
        <f>('Income Statement'!BP40)/1000</f>
        <v>0</v>
      </c>
      <c r="AJ49" s="398">
        <f>('Income Statement'!BQ40)/1000</f>
        <v>0</v>
      </c>
      <c r="AK49" s="398">
        <f>('Income Statement'!BR40)/1000</f>
        <v>0</v>
      </c>
      <c r="AL49" s="398">
        <f>('Income Statement'!BS40)/1000</f>
        <v>0</v>
      </c>
      <c r="AM49" s="398">
        <f>('Income Statement'!BT40)/1000</f>
        <v>0</v>
      </c>
      <c r="AN49" s="398">
        <f>('Income Statement'!BU40)/1000</f>
        <v>0</v>
      </c>
      <c r="AO49" s="398">
        <f>('Income Statement'!BV40)/1000</f>
        <v>0</v>
      </c>
      <c r="AP49" s="398">
        <f>('Income Statement'!BW40)/1000</f>
        <v>0</v>
      </c>
      <c r="AQ49" s="398">
        <f>('Income Statement'!BX40)/1000</f>
        <v>0</v>
      </c>
      <c r="AR49" s="398">
        <f>('Income Statement'!BY40)/1000</f>
        <v>0</v>
      </c>
      <c r="AS49" s="398">
        <f>('Income Statement'!BZ40)/1000</f>
        <v>0</v>
      </c>
      <c r="AT49" s="398">
        <f>('Income Statement'!CA40)/1000</f>
        <v>0</v>
      </c>
      <c r="AU49" s="398">
        <f>('Income Statement'!CB40)/1000</f>
        <v>0</v>
      </c>
      <c r="AV49" s="398">
        <f>('Income Statement'!CC40)/1000</f>
        <v>0</v>
      </c>
      <c r="AW49" s="398">
        <f>('Income Statement'!CD40)/1000</f>
        <v>0</v>
      </c>
      <c r="AX49" s="398">
        <f>('Income Statement'!CE40)/1000</f>
        <v>0</v>
      </c>
      <c r="AY49" s="398">
        <f>('Income Statement'!CF40)/1000</f>
        <v>0</v>
      </c>
      <c r="AZ49" s="398">
        <f>('Income Statement'!CG40)/1000</f>
        <v>0</v>
      </c>
      <c r="BA49" s="398">
        <f>('Income Statement'!CH40)/1000</f>
        <v>0</v>
      </c>
      <c r="BB49" s="398">
        <f>('Income Statement'!CI40)/1000</f>
        <v>0</v>
      </c>
      <c r="BC49" s="398">
        <f>('Income Statement'!CJ40)/1000</f>
        <v>0</v>
      </c>
      <c r="BD49" s="398">
        <f>('Income Statement'!CK40)/1000</f>
        <v>0</v>
      </c>
      <c r="BE49" s="398">
        <f>('Income Statement'!CL40)/1000</f>
        <v>0</v>
      </c>
      <c r="BF49" s="398">
        <f>('Income Statement'!CM40)/1000</f>
        <v>0</v>
      </c>
      <c r="BG49" s="399">
        <f>('Income Statement'!CN40)/1000</f>
        <v>-5.8207660913467408E-13</v>
      </c>
      <c r="BH49" s="398">
        <f>('Income Statement'!CO40)/1000</f>
        <v>0</v>
      </c>
      <c r="BI49" s="398">
        <f>('Income Statement'!CP40)/1000</f>
        <v>0</v>
      </c>
      <c r="BJ49" s="398">
        <f>('Income Statement'!CQ40)/1000</f>
        <v>0</v>
      </c>
      <c r="BK49" s="398">
        <f>('Income Statement'!CR40)/1000</f>
        <v>0</v>
      </c>
      <c r="BL49" s="398">
        <f>('Income Statement'!CS40)/1000</f>
        <v>59.02</v>
      </c>
      <c r="BM49" s="398">
        <f>('Income Statement'!CT40)/1000</f>
        <v>0</v>
      </c>
      <c r="BN49" s="398">
        <f>('Income Statement'!CU40)/1000</f>
        <v>0</v>
      </c>
      <c r="BO49" s="398">
        <f>('Income Statement'!CV40)/1000</f>
        <v>-93.7</v>
      </c>
      <c r="BP49" s="398">
        <f>('Income Statement'!CW40)/1000</f>
        <v>0</v>
      </c>
      <c r="BQ49" s="398">
        <f>('Income Statement'!CX40)/1000</f>
        <v>0</v>
      </c>
      <c r="BR49" s="398">
        <f>('Income Statement'!CY40)/1000</f>
        <v>58.963000000000001</v>
      </c>
      <c r="BS49" s="398">
        <f>('Income Statement'!CZ40)/1000</f>
        <v>-38.433</v>
      </c>
      <c r="BT49" s="397">
        <f>('Income Statement'!DA40)/1000</f>
        <v>0</v>
      </c>
      <c r="BU49" s="397">
        <f>('Income Statement'!DB40)/1000</f>
        <v>0</v>
      </c>
      <c r="BV49" s="397">
        <f>('Income Statement'!DC40)/1000</f>
        <v>0</v>
      </c>
      <c r="BW49" s="397">
        <f>('Income Statement'!DD40)/1000</f>
        <v>0</v>
      </c>
      <c r="BX49" s="397">
        <f>('Income Statement'!DE40)/1000</f>
        <v>0</v>
      </c>
      <c r="BY49" s="397">
        <f>('Income Statement'!DF40)/1000</f>
        <v>0</v>
      </c>
      <c r="BZ49" s="397">
        <f>('Income Statement'!DG40)/1000</f>
        <v>0</v>
      </c>
      <c r="CA49" s="397">
        <f>('Income Statement'!DH40)/1000</f>
        <v>0</v>
      </c>
      <c r="CB49" s="397">
        <f>('Income Statement'!DI40)/1000</f>
        <v>0</v>
      </c>
      <c r="CC49" s="397">
        <f>('Income Statement'!DJ40)/1000</f>
        <v>0</v>
      </c>
      <c r="CD49" s="397">
        <f>('Income Statement'!DK40)/1000</f>
        <v>0</v>
      </c>
      <c r="CE49" s="397">
        <f>('Income Statement'!DL40)/1000</f>
        <v>0</v>
      </c>
      <c r="CF49" s="397">
        <f>('Income Statement'!DM40)/1000</f>
        <v>0</v>
      </c>
      <c r="CG49" s="397">
        <f>('Income Statement'!DN40)/1000</f>
        <v>0</v>
      </c>
      <c r="CH49" s="397">
        <f>('Income Statement'!DO40)/1000</f>
        <v>0</v>
      </c>
      <c r="CI49" s="397">
        <f>('Income Statement'!DP40)/1000</f>
        <v>0</v>
      </c>
      <c r="CJ49" s="397">
        <f>('Income Statement'!DQ40)/1000</f>
        <v>0</v>
      </c>
      <c r="CK49" s="397">
        <f>('Income Statement'!DR40)/1000</f>
        <v>0</v>
      </c>
      <c r="CL49" s="397">
        <f>('Income Statement'!DS40)/1000</f>
        <v>0</v>
      </c>
      <c r="CM49" s="397">
        <f>('Income Statement'!DT40)/1000</f>
        <v>0</v>
      </c>
      <c r="CN49" s="397">
        <f>('Income Statement'!DU40)/1000</f>
        <v>0</v>
      </c>
      <c r="CO49" s="397">
        <f>('Income Statement'!DV40)/1000</f>
        <v>0</v>
      </c>
      <c r="CP49" s="397">
        <f>('Income Statement'!DW40)/1000</f>
        <v>0</v>
      </c>
      <c r="CQ49" s="397">
        <f>('Income Statement'!DX40)/1000</f>
        <v>0</v>
      </c>
    </row>
    <row r="50" spans="1:95" s="325" customFormat="1" ht="3.75" customHeight="1">
      <c r="A50" s="376"/>
      <c r="P50" s="326"/>
      <c r="Q50" s="326"/>
      <c r="R50" s="326"/>
      <c r="S50" s="326"/>
      <c r="T50" s="326"/>
      <c r="U50" s="326"/>
      <c r="V50" s="323"/>
      <c r="W50" s="376"/>
      <c r="X50" s="329"/>
      <c r="Y50" s="329"/>
      <c r="Z50" s="329"/>
      <c r="AA50" s="329"/>
      <c r="AB50" s="329"/>
      <c r="AC50" s="329"/>
      <c r="AD50" s="329"/>
      <c r="AE50" s="329"/>
      <c r="AF50" s="329"/>
      <c r="AG50" s="329"/>
      <c r="AH50" s="329"/>
      <c r="AI50" s="329"/>
      <c r="AJ50" s="329"/>
      <c r="AK50" s="329"/>
      <c r="AL50" s="329"/>
      <c r="AM50" s="329"/>
      <c r="AN50" s="329"/>
      <c r="AO50" s="329"/>
      <c r="AP50" s="329"/>
      <c r="AQ50" s="329"/>
      <c r="AR50" s="329"/>
      <c r="AS50" s="329"/>
      <c r="AT50" s="329"/>
      <c r="AU50" s="329"/>
      <c r="AV50" s="329"/>
      <c r="AW50" s="329"/>
      <c r="AX50" s="329"/>
      <c r="AY50" s="329"/>
      <c r="AZ50" s="329"/>
      <c r="BA50" s="329"/>
      <c r="BB50" s="329"/>
      <c r="BC50" s="329"/>
      <c r="BD50" s="329"/>
      <c r="BE50" s="329"/>
      <c r="BF50" s="329"/>
      <c r="BG50" s="349"/>
      <c r="BH50" s="329"/>
      <c r="BI50" s="329"/>
      <c r="BJ50" s="329"/>
      <c r="BK50" s="329"/>
      <c r="BL50" s="329"/>
      <c r="BM50" s="329"/>
      <c r="BN50" s="329"/>
      <c r="BO50" s="329"/>
      <c r="BP50" s="329"/>
      <c r="BQ50" s="329"/>
      <c r="BR50" s="329"/>
      <c r="BS50" s="329"/>
      <c r="BT50" s="348"/>
      <c r="BU50" s="348"/>
      <c r="BV50" s="348"/>
      <c r="BW50" s="348"/>
      <c r="BX50" s="348"/>
      <c r="BY50" s="348"/>
      <c r="BZ50" s="348"/>
      <c r="CA50" s="348"/>
      <c r="CB50" s="348"/>
      <c r="CC50" s="348"/>
      <c r="CD50" s="348"/>
      <c r="CE50" s="348"/>
      <c r="CF50" s="348"/>
      <c r="CG50" s="348"/>
      <c r="CH50" s="348"/>
      <c r="CI50" s="348"/>
      <c r="CJ50" s="348"/>
      <c r="CK50" s="348"/>
      <c r="CL50" s="348"/>
      <c r="CM50" s="348"/>
      <c r="CN50" s="348"/>
      <c r="CO50" s="348"/>
      <c r="CP50" s="348"/>
      <c r="CQ50" s="348"/>
    </row>
    <row r="51" spans="1:95" s="325" customFormat="1" ht="11.25" customHeight="1">
      <c r="A51" s="396" t="s">
        <v>35</v>
      </c>
      <c r="B51" s="394">
        <f t="shared" ref="B51:S51" si="70">B47+B49</f>
        <v>0</v>
      </c>
      <c r="C51" s="394">
        <f t="shared" si="70"/>
        <v>0</v>
      </c>
      <c r="D51" s="394">
        <f t="shared" si="70"/>
        <v>0</v>
      </c>
      <c r="E51" s="394">
        <f t="shared" si="70"/>
        <v>0</v>
      </c>
      <c r="F51" s="394">
        <f t="shared" si="70"/>
        <v>0</v>
      </c>
      <c r="G51" s="394">
        <f t="shared" si="70"/>
        <v>0</v>
      </c>
      <c r="H51" s="394">
        <f t="shared" si="70"/>
        <v>0</v>
      </c>
      <c r="I51" s="394">
        <f t="shared" si="70"/>
        <v>1409.3541872319258</v>
      </c>
      <c r="J51" s="394">
        <f t="shared" si="70"/>
        <v>1613.7778413890794</v>
      </c>
      <c r="K51" s="394">
        <f t="shared" si="70"/>
        <v>1972.5826017561981</v>
      </c>
      <c r="L51" s="394">
        <f t="shared" si="70"/>
        <v>2080.0418703588198</v>
      </c>
      <c r="M51" s="394">
        <f t="shared" si="70"/>
        <v>1538.7086915301159</v>
      </c>
      <c r="N51" s="394">
        <f t="shared" si="70"/>
        <v>2387.8539500000011</v>
      </c>
      <c r="O51" s="394">
        <f t="shared" si="70"/>
        <v>3092.3069999999998</v>
      </c>
      <c r="P51" s="393">
        <f t="shared" ca="1" si="70"/>
        <v>3518.3881172455713</v>
      </c>
      <c r="Q51" s="393">
        <f t="shared" ca="1" si="70"/>
        <v>4171.8080799328363</v>
      </c>
      <c r="R51" s="393">
        <f t="shared" ca="1" si="70"/>
        <v>4951.8084315102496</v>
      </c>
      <c r="S51" s="393">
        <f t="shared" ca="1" si="70"/>
        <v>5696.3982798170355</v>
      </c>
      <c r="T51" s="393">
        <f t="shared" ref="T51:U51" ca="1" si="71">T47+T49</f>
        <v>6611.9287315754782</v>
      </c>
      <c r="U51" s="393">
        <f t="shared" ca="1" si="71"/>
        <v>7682.6850350444029</v>
      </c>
      <c r="V51" s="323"/>
      <c r="W51" s="396" t="s">
        <v>35</v>
      </c>
      <c r="X51" s="394">
        <f t="shared" ref="X51:BC51" si="72">X47+X49</f>
        <v>0</v>
      </c>
      <c r="Y51" s="394">
        <f t="shared" si="72"/>
        <v>0</v>
      </c>
      <c r="Z51" s="394">
        <f t="shared" si="72"/>
        <v>0</v>
      </c>
      <c r="AA51" s="394">
        <f t="shared" si="72"/>
        <v>0</v>
      </c>
      <c r="AB51" s="394">
        <f t="shared" si="72"/>
        <v>0</v>
      </c>
      <c r="AC51" s="394">
        <f t="shared" si="72"/>
        <v>0</v>
      </c>
      <c r="AD51" s="394">
        <f t="shared" si="72"/>
        <v>0</v>
      </c>
      <c r="AE51" s="394">
        <f t="shared" si="72"/>
        <v>0</v>
      </c>
      <c r="AF51" s="394">
        <f t="shared" si="72"/>
        <v>0</v>
      </c>
      <c r="AG51" s="394">
        <f t="shared" si="72"/>
        <v>0</v>
      </c>
      <c r="AH51" s="394">
        <f t="shared" si="72"/>
        <v>0</v>
      </c>
      <c r="AI51" s="394">
        <f t="shared" si="72"/>
        <v>0</v>
      </c>
      <c r="AJ51" s="394">
        <f t="shared" si="72"/>
        <v>0</v>
      </c>
      <c r="AK51" s="394">
        <f t="shared" si="72"/>
        <v>0</v>
      </c>
      <c r="AL51" s="394">
        <f t="shared" si="72"/>
        <v>0</v>
      </c>
      <c r="AM51" s="394">
        <f t="shared" si="72"/>
        <v>0</v>
      </c>
      <c r="AN51" s="394">
        <f t="shared" si="72"/>
        <v>0</v>
      </c>
      <c r="AO51" s="394">
        <f t="shared" si="72"/>
        <v>0</v>
      </c>
      <c r="AP51" s="394">
        <f t="shared" si="72"/>
        <v>0</v>
      </c>
      <c r="AQ51" s="394">
        <f t="shared" si="72"/>
        <v>0</v>
      </c>
      <c r="AR51" s="394">
        <f t="shared" si="72"/>
        <v>353.41659972930006</v>
      </c>
      <c r="AS51" s="394">
        <f t="shared" si="72"/>
        <v>345.48005214263947</v>
      </c>
      <c r="AT51" s="394">
        <f t="shared" si="72"/>
        <v>356.97192844908437</v>
      </c>
      <c r="AU51" s="394">
        <f t="shared" si="72"/>
        <v>353.48560691090228</v>
      </c>
      <c r="AV51" s="394">
        <f t="shared" si="72"/>
        <v>352.8142671021302</v>
      </c>
      <c r="AW51" s="394">
        <f t="shared" si="72"/>
        <v>459.95516827229892</v>
      </c>
      <c r="AX51" s="394">
        <f t="shared" si="72"/>
        <v>437.5879376949303</v>
      </c>
      <c r="AY51" s="394">
        <f t="shared" si="72"/>
        <v>363.42046831971999</v>
      </c>
      <c r="AZ51" s="394">
        <f t="shared" si="72"/>
        <v>487.32943933029958</v>
      </c>
      <c r="BA51" s="394">
        <f t="shared" si="72"/>
        <v>482.96891350855901</v>
      </c>
      <c r="BB51" s="394">
        <f t="shared" si="72"/>
        <v>468.25469580225194</v>
      </c>
      <c r="BC51" s="394">
        <f t="shared" si="72"/>
        <v>534.02955311508788</v>
      </c>
      <c r="BD51" s="394">
        <f t="shared" ref="BD51:CI51" si="73">BD47+BD49</f>
        <v>506.46959884169996</v>
      </c>
      <c r="BE51" s="394">
        <f t="shared" si="73"/>
        <v>464.06706426657144</v>
      </c>
      <c r="BF51" s="394">
        <f t="shared" si="73"/>
        <v>594.81278565324953</v>
      </c>
      <c r="BG51" s="395">
        <f t="shared" si="73"/>
        <v>514.69242159729902</v>
      </c>
      <c r="BH51" s="394">
        <f t="shared" si="73"/>
        <v>469.18611656836981</v>
      </c>
      <c r="BI51" s="394">
        <f t="shared" ref="BI51" si="74">BI47+BI49</f>
        <v>146.09963357025021</v>
      </c>
      <c r="BJ51" s="394">
        <f t="shared" si="73"/>
        <v>501.04918570676443</v>
      </c>
      <c r="BK51" s="394">
        <f t="shared" si="73"/>
        <v>422.3737556847326</v>
      </c>
      <c r="BL51" s="394">
        <f t="shared" ref="BL51" si="75">BL47+BL49</f>
        <v>662.12495000000024</v>
      </c>
      <c r="BM51" s="394">
        <f t="shared" si="73"/>
        <v>584.68599999999992</v>
      </c>
      <c r="BN51" s="394">
        <f t="shared" ref="BN51:BO51" si="76">BN47+BN49</f>
        <v>645.43500000000017</v>
      </c>
      <c r="BO51" s="394">
        <f t="shared" si="76"/>
        <v>495.60799999999978</v>
      </c>
      <c r="BP51" s="394">
        <f t="shared" si="73"/>
        <v>804.73499999999979</v>
      </c>
      <c r="BQ51" s="394">
        <f t="shared" si="73"/>
        <v>749.29500000000053</v>
      </c>
      <c r="BR51" s="394">
        <f t="shared" ref="BR51:BS51" si="77">BR47+BR49</f>
        <v>807.14499999999975</v>
      </c>
      <c r="BS51" s="394">
        <f t="shared" si="77"/>
        <v>731.13199999999938</v>
      </c>
      <c r="BT51" s="393">
        <f t="shared" ca="1" si="73"/>
        <v>823.51653021025982</v>
      </c>
      <c r="BU51" s="393">
        <f t="shared" ca="1" si="73"/>
        <v>851.43816173905088</v>
      </c>
      <c r="BV51" s="393">
        <f t="shared" ca="1" si="73"/>
        <v>908.63272239204991</v>
      </c>
      <c r="BW51" s="393">
        <f t="shared" ca="1" si="73"/>
        <v>934.80070290421338</v>
      </c>
      <c r="BX51" s="393">
        <f t="shared" ca="1" si="73"/>
        <v>1003.4386359732902</v>
      </c>
      <c r="BY51" s="393">
        <f t="shared" ca="1" si="73"/>
        <v>1035.4080371477726</v>
      </c>
      <c r="BZ51" s="393">
        <f t="shared" ca="1" si="73"/>
        <v>1057.476473464031</v>
      </c>
      <c r="CA51" s="393">
        <f t="shared" ca="1" si="73"/>
        <v>1075.4849333477384</v>
      </c>
      <c r="CB51" s="393">
        <f t="shared" ca="1" si="73"/>
        <v>1161.1685519376474</v>
      </c>
      <c r="CC51" s="393">
        <f t="shared" ca="1" si="73"/>
        <v>1221.8955293667973</v>
      </c>
      <c r="CD51" s="393">
        <f t="shared" ca="1" si="73"/>
        <v>1266.3061179362535</v>
      </c>
      <c r="CE51" s="393">
        <f t="shared" ca="1" si="73"/>
        <v>1302.438232269549</v>
      </c>
      <c r="CF51" s="393">
        <f t="shared" ca="1" si="73"/>
        <v>1381.6945937013716</v>
      </c>
      <c r="CG51" s="393">
        <f t="shared" ca="1" si="73"/>
        <v>1411.4175949423932</v>
      </c>
      <c r="CH51" s="393">
        <f t="shared" ca="1" si="73"/>
        <v>1443.6279688244333</v>
      </c>
      <c r="CI51" s="393">
        <f t="shared" ca="1" si="73"/>
        <v>1459.6581223488383</v>
      </c>
      <c r="CJ51" s="393">
        <f t="shared" ref="CJ51:CM51" ca="1" si="78">CJ47+CJ49</f>
        <v>1576.8629838387185</v>
      </c>
      <c r="CK51" s="393">
        <f t="shared" ca="1" si="78"/>
        <v>1637.4519812951987</v>
      </c>
      <c r="CL51" s="393">
        <f t="shared" ca="1" si="78"/>
        <v>1688.2292453802593</v>
      </c>
      <c r="CM51" s="393">
        <f t="shared" ca="1" si="78"/>
        <v>1709.3845210612997</v>
      </c>
      <c r="CN51" s="393">
        <f t="shared" ref="CN51:CQ51" ca="1" si="79">CN47+CN49</f>
        <v>1838.9741570620286</v>
      </c>
      <c r="CO51" s="393">
        <f t="shared" ca="1" si="79"/>
        <v>1905.5703624208684</v>
      </c>
      <c r="CP51" s="393">
        <f t="shared" ca="1" si="79"/>
        <v>1954.4095859537954</v>
      </c>
      <c r="CQ51" s="393">
        <f t="shared" ca="1" si="79"/>
        <v>1983.730929607714</v>
      </c>
    </row>
    <row r="52" spans="1:95" s="325" customFormat="1" ht="11.25" customHeight="1">
      <c r="A52" s="329"/>
      <c r="N52" s="595"/>
      <c r="O52" s="615"/>
      <c r="P52" s="326"/>
      <c r="Q52" s="326"/>
      <c r="R52" s="326"/>
      <c r="S52" s="326"/>
      <c r="T52" s="326"/>
      <c r="U52" s="326"/>
      <c r="V52" s="323"/>
      <c r="W52" s="329"/>
      <c r="X52" s="329"/>
      <c r="Y52" s="329"/>
      <c r="Z52" s="329"/>
      <c r="AA52" s="329"/>
      <c r="AB52" s="329"/>
      <c r="AC52" s="329"/>
      <c r="AD52" s="329"/>
      <c r="AE52" s="329"/>
      <c r="AF52" s="329"/>
      <c r="AG52" s="329"/>
      <c r="AH52" s="329"/>
      <c r="AI52" s="329"/>
      <c r="AJ52" s="329"/>
      <c r="AK52" s="329"/>
      <c r="AL52" s="329"/>
      <c r="AM52" s="329"/>
      <c r="AN52" s="329"/>
      <c r="AO52" s="329"/>
      <c r="AP52" s="329"/>
      <c r="AQ52" s="329"/>
      <c r="AR52" s="329"/>
      <c r="AS52" s="329"/>
      <c r="AT52" s="329"/>
      <c r="AU52" s="329"/>
      <c r="AV52" s="329"/>
      <c r="AW52" s="329"/>
      <c r="AX52" s="329"/>
      <c r="AY52" s="329"/>
      <c r="AZ52" s="329"/>
      <c r="BA52" s="329"/>
      <c r="BB52" s="329"/>
      <c r="BC52" s="329"/>
      <c r="BD52" s="329"/>
      <c r="BE52" s="329"/>
      <c r="BF52" s="329"/>
      <c r="BG52" s="349"/>
      <c r="BH52" s="329"/>
      <c r="BI52" s="329"/>
      <c r="BJ52" s="329"/>
      <c r="BK52" s="329"/>
      <c r="BL52" s="329"/>
      <c r="BM52" s="329"/>
      <c r="BN52" s="329"/>
      <c r="BO52" s="329"/>
      <c r="BP52" s="329"/>
      <c r="BQ52" s="329"/>
      <c r="BR52" s="329"/>
      <c r="BS52" s="329"/>
      <c r="BT52" s="348"/>
      <c r="BU52" s="348"/>
      <c r="BV52" s="348"/>
      <c r="BW52" s="348"/>
      <c r="BX52" s="348"/>
      <c r="BY52" s="348"/>
      <c r="BZ52" s="348"/>
      <c r="CA52" s="348"/>
      <c r="CB52" s="348"/>
      <c r="CC52" s="348"/>
      <c r="CD52" s="348"/>
      <c r="CE52" s="348"/>
      <c r="CF52" s="348"/>
      <c r="CG52" s="348"/>
      <c r="CH52" s="348"/>
      <c r="CI52" s="348"/>
      <c r="CJ52" s="348"/>
      <c r="CK52" s="348"/>
      <c r="CL52" s="348"/>
      <c r="CM52" s="348"/>
      <c r="CN52" s="348"/>
      <c r="CO52" s="348"/>
      <c r="CP52" s="348"/>
      <c r="CQ52" s="348"/>
    </row>
    <row r="53" spans="1:95" s="325" customFormat="1" ht="11.25" customHeight="1">
      <c r="A53" s="354" t="s">
        <v>358</v>
      </c>
      <c r="B53" s="299">
        <f t="shared" ref="B53:S53" si="80">+B7</f>
        <v>2002</v>
      </c>
      <c r="C53" s="299">
        <f t="shared" si="80"/>
        <v>2003</v>
      </c>
      <c r="D53" s="299">
        <f t="shared" si="80"/>
        <v>2004</v>
      </c>
      <c r="E53" s="299">
        <f t="shared" si="80"/>
        <v>2005</v>
      </c>
      <c r="F53" s="299">
        <f t="shared" si="80"/>
        <v>2006</v>
      </c>
      <c r="G53" s="299">
        <f t="shared" si="80"/>
        <v>2007</v>
      </c>
      <c r="H53" s="299">
        <f t="shared" si="80"/>
        <v>2008</v>
      </c>
      <c r="I53" s="299">
        <f t="shared" si="80"/>
        <v>2009</v>
      </c>
      <c r="J53" s="299">
        <f t="shared" si="80"/>
        <v>2010</v>
      </c>
      <c r="K53" s="299">
        <f t="shared" si="80"/>
        <v>2011</v>
      </c>
      <c r="L53" s="299">
        <f t="shared" si="80"/>
        <v>2012</v>
      </c>
      <c r="M53" s="299">
        <f t="shared" si="80"/>
        <v>2013</v>
      </c>
      <c r="N53" s="299">
        <f t="shared" si="80"/>
        <v>2014</v>
      </c>
      <c r="O53" s="299">
        <f t="shared" si="80"/>
        <v>2015</v>
      </c>
      <c r="P53" s="181" t="str">
        <f t="shared" si="80"/>
        <v>2016E</v>
      </c>
      <c r="Q53" s="181" t="str">
        <f t="shared" si="80"/>
        <v>2017E</v>
      </c>
      <c r="R53" s="181" t="str">
        <f t="shared" si="80"/>
        <v>2018E</v>
      </c>
      <c r="S53" s="181" t="str">
        <f t="shared" si="80"/>
        <v>2019E</v>
      </c>
      <c r="T53" s="181" t="str">
        <f t="shared" ref="T53:U53" si="81">+T7</f>
        <v>2020E</v>
      </c>
      <c r="U53" s="181" t="str">
        <f t="shared" si="81"/>
        <v>2021E</v>
      </c>
      <c r="V53" s="323"/>
      <c r="W53" s="354" t="s">
        <v>358</v>
      </c>
      <c r="X53" s="352"/>
      <c r="Y53" s="352" t="str">
        <f t="shared" ref="Y53:BD53" si="82">+Y7</f>
        <v>2Q04</v>
      </c>
      <c r="Z53" s="352" t="str">
        <f t="shared" si="82"/>
        <v>3Q04</v>
      </c>
      <c r="AA53" s="352" t="str">
        <f t="shared" si="82"/>
        <v>4Q04</v>
      </c>
      <c r="AB53" s="352" t="str">
        <f t="shared" si="82"/>
        <v>1Q05</v>
      </c>
      <c r="AC53" s="352" t="str">
        <f t="shared" si="82"/>
        <v>2Q05</v>
      </c>
      <c r="AD53" s="352" t="str">
        <f t="shared" si="82"/>
        <v>3Q05</v>
      </c>
      <c r="AE53" s="352" t="str">
        <f t="shared" si="82"/>
        <v>4Q05</v>
      </c>
      <c r="AF53" s="352" t="str">
        <f t="shared" si="82"/>
        <v>1Q06</v>
      </c>
      <c r="AG53" s="352" t="str">
        <f t="shared" si="82"/>
        <v>2Q06</v>
      </c>
      <c r="AH53" s="352" t="str">
        <f t="shared" si="82"/>
        <v>3Q06</v>
      </c>
      <c r="AI53" s="352" t="str">
        <f t="shared" si="82"/>
        <v>4Q06</v>
      </c>
      <c r="AJ53" s="352" t="str">
        <f t="shared" si="82"/>
        <v>1Q07</v>
      </c>
      <c r="AK53" s="352" t="str">
        <f t="shared" si="82"/>
        <v>2Q07</v>
      </c>
      <c r="AL53" s="352" t="str">
        <f t="shared" si="82"/>
        <v>3Q07</v>
      </c>
      <c r="AM53" s="352" t="str">
        <f t="shared" si="82"/>
        <v>4Q07</v>
      </c>
      <c r="AN53" s="352" t="str">
        <f t="shared" si="82"/>
        <v>1Q08</v>
      </c>
      <c r="AO53" s="352" t="str">
        <f t="shared" si="82"/>
        <v>2Q08</v>
      </c>
      <c r="AP53" s="352" t="str">
        <f t="shared" si="82"/>
        <v>3Q08</v>
      </c>
      <c r="AQ53" s="352" t="str">
        <f t="shared" si="82"/>
        <v>4Q08</v>
      </c>
      <c r="AR53" s="352" t="str">
        <f t="shared" si="82"/>
        <v>1Q09</v>
      </c>
      <c r="AS53" s="352" t="str">
        <f t="shared" si="82"/>
        <v>2Q09</v>
      </c>
      <c r="AT53" s="352" t="str">
        <f t="shared" si="82"/>
        <v>3Q09</v>
      </c>
      <c r="AU53" s="352" t="str">
        <f t="shared" si="82"/>
        <v>4Q09</v>
      </c>
      <c r="AV53" s="352" t="str">
        <f t="shared" si="82"/>
        <v>1Q10</v>
      </c>
      <c r="AW53" s="352" t="str">
        <f t="shared" si="82"/>
        <v>2Q10</v>
      </c>
      <c r="AX53" s="352" t="str">
        <f t="shared" si="82"/>
        <v>3Q10</v>
      </c>
      <c r="AY53" s="352" t="str">
        <f t="shared" si="82"/>
        <v>4Q10</v>
      </c>
      <c r="AZ53" s="352" t="str">
        <f t="shared" si="82"/>
        <v>1Q11</v>
      </c>
      <c r="BA53" s="352" t="str">
        <f t="shared" si="82"/>
        <v>2Q11</v>
      </c>
      <c r="BB53" s="352" t="str">
        <f t="shared" si="82"/>
        <v>3Q11</v>
      </c>
      <c r="BC53" s="352" t="str">
        <f t="shared" si="82"/>
        <v>4Q11</v>
      </c>
      <c r="BD53" s="352" t="str">
        <f t="shared" si="82"/>
        <v>1Q12</v>
      </c>
      <c r="BE53" s="352" t="str">
        <f t="shared" ref="BE53:CI53" si="83">+BE7</f>
        <v>2Q12</v>
      </c>
      <c r="BF53" s="352" t="str">
        <f t="shared" si="83"/>
        <v>3Q12</v>
      </c>
      <c r="BG53" s="353" t="str">
        <f t="shared" si="83"/>
        <v>4Q12</v>
      </c>
      <c r="BH53" s="352" t="str">
        <f t="shared" si="83"/>
        <v>1Q13</v>
      </c>
      <c r="BI53" s="352" t="str">
        <f t="shared" ref="BI53" si="84">+BI7</f>
        <v>2Q13</v>
      </c>
      <c r="BJ53" s="352" t="str">
        <f t="shared" si="83"/>
        <v>3Q13</v>
      </c>
      <c r="BK53" s="352" t="str">
        <f t="shared" si="83"/>
        <v>4Q13</v>
      </c>
      <c r="BL53" s="352" t="str">
        <f t="shared" ref="BL53" si="85">+BL7</f>
        <v>1Q14</v>
      </c>
      <c r="BM53" s="352" t="str">
        <f t="shared" si="83"/>
        <v>2Q14</v>
      </c>
      <c r="BN53" s="352" t="str">
        <f t="shared" ref="BN53:BO53" si="86">+BN7</f>
        <v>3Q14</v>
      </c>
      <c r="BO53" s="352" t="str">
        <f t="shared" si="86"/>
        <v>4Q14</v>
      </c>
      <c r="BP53" s="352" t="str">
        <f t="shared" si="83"/>
        <v>1Q15</v>
      </c>
      <c r="BQ53" s="352" t="str">
        <f t="shared" si="83"/>
        <v>2Q15</v>
      </c>
      <c r="BR53" s="352" t="str">
        <f t="shared" ref="BR53:BS53" si="87">+BR7</f>
        <v>3Q15</v>
      </c>
      <c r="BS53" s="352" t="str">
        <f t="shared" si="87"/>
        <v>4Q15</v>
      </c>
      <c r="BT53" s="181" t="str">
        <f t="shared" si="83"/>
        <v>1Q16E</v>
      </c>
      <c r="BU53" s="181" t="str">
        <f t="shared" si="83"/>
        <v>2Q16E</v>
      </c>
      <c r="BV53" s="181" t="str">
        <f t="shared" si="83"/>
        <v>3Q16E</v>
      </c>
      <c r="BW53" s="181" t="str">
        <f t="shared" si="83"/>
        <v>4Q16E</v>
      </c>
      <c r="BX53" s="181" t="str">
        <f t="shared" si="83"/>
        <v>1Q17E</v>
      </c>
      <c r="BY53" s="181" t="str">
        <f t="shared" si="83"/>
        <v>2Q17E</v>
      </c>
      <c r="BZ53" s="181" t="str">
        <f t="shared" si="83"/>
        <v>3Q17E</v>
      </c>
      <c r="CA53" s="181" t="str">
        <f t="shared" si="83"/>
        <v>4Q17E</v>
      </c>
      <c r="CB53" s="181" t="str">
        <f t="shared" si="83"/>
        <v>1Q18E</v>
      </c>
      <c r="CC53" s="181" t="str">
        <f t="shared" si="83"/>
        <v>2Q18E</v>
      </c>
      <c r="CD53" s="181" t="str">
        <f t="shared" si="83"/>
        <v>3Q18E</v>
      </c>
      <c r="CE53" s="181" t="str">
        <f t="shared" si="83"/>
        <v>4Q18E</v>
      </c>
      <c r="CF53" s="181" t="str">
        <f t="shared" si="83"/>
        <v>1Q19E</v>
      </c>
      <c r="CG53" s="181" t="str">
        <f t="shared" si="83"/>
        <v>2Q19E</v>
      </c>
      <c r="CH53" s="181" t="str">
        <f t="shared" si="83"/>
        <v>3Q19E</v>
      </c>
      <c r="CI53" s="181" t="str">
        <f t="shared" si="83"/>
        <v>4Q19E</v>
      </c>
      <c r="CJ53" s="181" t="str">
        <f t="shared" ref="CJ53:CM53" si="88">+CJ7</f>
        <v>1Q20E</v>
      </c>
      <c r="CK53" s="181" t="str">
        <f t="shared" si="88"/>
        <v>2Q20E</v>
      </c>
      <c r="CL53" s="181" t="str">
        <f t="shared" si="88"/>
        <v>3Q20E</v>
      </c>
      <c r="CM53" s="181" t="str">
        <f t="shared" si="88"/>
        <v>4Q20E</v>
      </c>
      <c r="CN53" s="181" t="str">
        <f t="shared" ref="CN53:CQ53" si="89">+CN7</f>
        <v>1Q21E</v>
      </c>
      <c r="CO53" s="181" t="str">
        <f t="shared" si="89"/>
        <v>2Q21E</v>
      </c>
      <c r="CP53" s="181" t="str">
        <f t="shared" si="89"/>
        <v>3Q21E</v>
      </c>
      <c r="CQ53" s="181" t="str">
        <f t="shared" si="89"/>
        <v>4Q21E</v>
      </c>
    </row>
    <row r="54" spans="1:95" s="325" customFormat="1" ht="11.25" customHeight="1">
      <c r="A54" s="329" t="s">
        <v>481</v>
      </c>
      <c r="B54" s="391"/>
      <c r="C54" s="391" t="e">
        <f>+SUM(W54:Z54)</f>
        <v>#DIV/0!</v>
      </c>
      <c r="D54" s="391" t="e">
        <f>+SUM(X54:AA54)</f>
        <v>#DIV/0!</v>
      </c>
      <c r="E54" s="391" t="e">
        <f>+SUM(AB54:AE54)</f>
        <v>#DIV/0!</v>
      </c>
      <c r="F54" s="391" t="e">
        <f>+SUM(AF54:AI54)</f>
        <v>#DIV/0!</v>
      </c>
      <c r="G54" s="391" t="e">
        <f>+SUM(AJ54:AM54)</f>
        <v>#DIV/0!</v>
      </c>
      <c r="H54" s="391" t="e">
        <f>+SUM(AN54:AQ54)</f>
        <v>#DIV/0!</v>
      </c>
      <c r="I54" s="391">
        <f>+SUM(AR54:AU54)</f>
        <v>17.669937151854644</v>
      </c>
      <c r="J54" s="391">
        <f>+SUM(AV54:AY54)</f>
        <v>20.232921782711632</v>
      </c>
      <c r="K54" s="391">
        <f>+SUM(AZ54:BC54)</f>
        <v>24.731476952810908</v>
      </c>
      <c r="L54" s="391">
        <f>+SUM(BD54:BG54)</f>
        <v>26.078759658460626</v>
      </c>
      <c r="M54" s="391">
        <f>+SUM(BH54:BK54)</f>
        <v>19.291733845663451</v>
      </c>
      <c r="N54" s="391">
        <f>+SUM(BL54:BO54)</f>
        <v>29.937988340020063</v>
      </c>
      <c r="O54" s="391">
        <f>+SUM(BP54:BS54)</f>
        <v>38.770147943831496</v>
      </c>
      <c r="P54" s="390">
        <f ca="1">+SUM(BT54:BW54)</f>
        <v>44.11218802965864</v>
      </c>
      <c r="Q54" s="390">
        <f ca="1">+SUM(BX54:CA54)</f>
        <v>52.304514542788766</v>
      </c>
      <c r="R54" s="390">
        <f ca="1">+SUM(CB54:CE54)</f>
        <v>62.08385696477243</v>
      </c>
      <c r="S54" s="390">
        <f ca="1">+SUM(CF54:CI54)</f>
        <v>71.419236206331945</v>
      </c>
      <c r="T54" s="390">
        <f ca="1">+SUM(CJ54:CM54)</f>
        <v>82.897802552350512</v>
      </c>
      <c r="U54" s="390">
        <f ca="1">+SUM(CN54:CQ54)</f>
        <v>96.322530529644013</v>
      </c>
      <c r="V54" s="323"/>
      <c r="W54" s="329" t="s">
        <v>357</v>
      </c>
      <c r="X54" s="391" t="e">
        <f>+'Income Statement'!BE41/Summary!X65</f>
        <v>#DIV/0!</v>
      </c>
      <c r="Y54" s="391" t="e">
        <f>+'Income Statement'!BF41/Summary!Y65</f>
        <v>#DIV/0!</v>
      </c>
      <c r="Z54" s="391" t="e">
        <f>+'Income Statement'!BG41/Summary!Z65</f>
        <v>#DIV/0!</v>
      </c>
      <c r="AA54" s="391" t="e">
        <f>+'Income Statement'!BH41/Summary!AA65</f>
        <v>#DIV/0!</v>
      </c>
      <c r="AB54" s="391" t="e">
        <f>+'Income Statement'!BI41/Summary!AB65</f>
        <v>#DIV/0!</v>
      </c>
      <c r="AC54" s="391" t="e">
        <f>+'Income Statement'!BJ41/Summary!AC65</f>
        <v>#DIV/0!</v>
      </c>
      <c r="AD54" s="391" t="e">
        <f>+'Income Statement'!BK41/Summary!AD65</f>
        <v>#DIV/0!</v>
      </c>
      <c r="AE54" s="391" t="e">
        <f>+'Income Statement'!BL41/Summary!AE65</f>
        <v>#DIV/0!</v>
      </c>
      <c r="AF54" s="391" t="e">
        <f>+'Income Statement'!BM41/Summary!AF65</f>
        <v>#DIV/0!</v>
      </c>
      <c r="AG54" s="391" t="e">
        <f>+'Income Statement'!BN41/Summary!AG65</f>
        <v>#DIV/0!</v>
      </c>
      <c r="AH54" s="391" t="e">
        <f>+'Income Statement'!BO41/Summary!AH65</f>
        <v>#DIV/0!</v>
      </c>
      <c r="AI54" s="391" t="e">
        <f>+'Income Statement'!BP41/Summary!AI65</f>
        <v>#DIV/0!</v>
      </c>
      <c r="AJ54" s="391" t="e">
        <f>+'Income Statement'!BQ41/Summary!AJ65</f>
        <v>#DIV/0!</v>
      </c>
      <c r="AK54" s="391" t="e">
        <f>+'Income Statement'!BR41/Summary!AK65</f>
        <v>#DIV/0!</v>
      </c>
      <c r="AL54" s="391" t="e">
        <f>+'Income Statement'!BS41/Summary!AL65</f>
        <v>#DIV/0!</v>
      </c>
      <c r="AM54" s="391" t="e">
        <f>+'Income Statement'!BT41/Summary!AM65</f>
        <v>#DIV/0!</v>
      </c>
      <c r="AN54" s="391" t="e">
        <f>+'Income Statement'!BU41/Summary!AN65</f>
        <v>#DIV/0!</v>
      </c>
      <c r="AO54" s="391" t="e">
        <f>+'Income Statement'!BV41/Summary!AO65</f>
        <v>#DIV/0!</v>
      </c>
      <c r="AP54" s="391" t="e">
        <f>+'Income Statement'!BW41/Summary!AP65</f>
        <v>#DIV/0!</v>
      </c>
      <c r="AQ54" s="391" t="e">
        <f>+'Income Statement'!BX41/Summary!AQ65</f>
        <v>#DIV/0!</v>
      </c>
      <c r="AR54" s="391">
        <f>+'Income Statement'!BY41/Summary!AR65</f>
        <v>4.4310004981105822</v>
      </c>
      <c r="AS54" s="391">
        <f>+'Income Statement'!BZ41/Summary!AS65</f>
        <v>4.3314951371945805</v>
      </c>
      <c r="AT54" s="391">
        <f>+'Income Statement'!CA41/Summary!AT65</f>
        <v>4.4755758331128925</v>
      </c>
      <c r="AU54" s="391">
        <f>+'Income Statement'!CB41/Summary!AU65</f>
        <v>4.4318656834365875</v>
      </c>
      <c r="AV54" s="391">
        <f>+'Income Statement'!CC41/Summary!AV65</f>
        <v>4.4234486848311212</v>
      </c>
      <c r="AW54" s="391">
        <f>+'Income Statement'!CD41/Summary!AW65</f>
        <v>5.7667398228723572</v>
      </c>
      <c r="AX54" s="391">
        <f>+'Income Statement'!CE41/Summary!AX65</f>
        <v>5.486308145623501</v>
      </c>
      <c r="AY54" s="391">
        <f>+'Income Statement'!CF41/Summary!AY65</f>
        <v>4.556425129384654</v>
      </c>
      <c r="AZ54" s="391">
        <f>+'Income Statement'!CG41/Summary!AZ65</f>
        <v>6.1099478351341459</v>
      </c>
      <c r="BA54" s="391">
        <f>+'Income Statement'!CH41/Summary!BA65</f>
        <v>6.0552772506088157</v>
      </c>
      <c r="BB54" s="391">
        <f>+'Income Statement'!CI41/Summary!BB65</f>
        <v>5.8707960857855035</v>
      </c>
      <c r="BC54" s="391">
        <f>+'Income Statement'!CJ41/Summary!BC65</f>
        <v>6.6954557812824449</v>
      </c>
      <c r="BD54" s="391">
        <f>+'Income Statement'!CK41/Summary!BD65</f>
        <v>6.349919744755514</v>
      </c>
      <c r="BE54" s="391">
        <f>+'Income Statement'!CL41/Summary!BE65</f>
        <v>5.8182931828807867</v>
      </c>
      <c r="BF54" s="391">
        <f>+'Income Statement'!CM41/Summary!BF65</f>
        <v>7.4575324179193778</v>
      </c>
      <c r="BG54" s="392">
        <f>+'Income Statement'!CN41/Summary!BG65</f>
        <v>6.4530143129049478</v>
      </c>
      <c r="BH54" s="391">
        <f>+'Income Statement'!CO41/Summary!BH65</f>
        <v>5.8824738787408464</v>
      </c>
      <c r="BI54" s="391">
        <f>+'Income Statement'!CP41/Summary!BI65</f>
        <v>1.8317406415527859</v>
      </c>
      <c r="BJ54" s="391">
        <f>+'Income Statement'!CQ41/Summary!BJ65</f>
        <v>6.2819607034448914</v>
      </c>
      <c r="BK54" s="391">
        <f>+'Income Statement'!CR41/Summary!BK65</f>
        <v>5.2955586219249273</v>
      </c>
      <c r="BL54" s="391">
        <f>+'Income Statement'!CS41/Summary!BL65</f>
        <v>8.3014662738214646</v>
      </c>
      <c r="BM54" s="391">
        <f>+'Income Statement'!CT41/Summary!BM65</f>
        <v>7.3305667001003005</v>
      </c>
      <c r="BN54" s="391">
        <f>+'Income Statement'!CU41/Summary!BN65</f>
        <v>8.0922141424272827</v>
      </c>
      <c r="BO54" s="391">
        <f>+'Income Statement'!CV41/Summary!BO65</f>
        <v>6.213741223671013</v>
      </c>
      <c r="BP54" s="391">
        <f>+'Income Statement'!CW41/Summary!BP65</f>
        <v>10.089455867602808</v>
      </c>
      <c r="BQ54" s="391">
        <f>+'Income Statement'!CX41/Summary!BQ65</f>
        <v>9.394370611835507</v>
      </c>
      <c r="BR54" s="391">
        <f>+'Income Statement'!CY41/Summary!BR65</f>
        <v>10.119671514543631</v>
      </c>
      <c r="BS54" s="391">
        <f>+'Income Statement'!CZ41/Summary!BS65</f>
        <v>9.166649949849548</v>
      </c>
      <c r="BT54" s="390">
        <f ca="1">+'Income Statement'!DA41/Summary!BT65</f>
        <v>10.32493142189394</v>
      </c>
      <c r="BU54" s="390">
        <f ca="1">+'Income Statement'!DB41/Summary!BU65</f>
        <v>10.67500202782159</v>
      </c>
      <c r="BV54" s="390">
        <f ca="1">+'Income Statement'!DC41/Summary!BV65</f>
        <v>11.392085285757894</v>
      </c>
      <c r="BW54" s="390">
        <f ca="1">+'Income Statement'!DD41/Summary!BW65</f>
        <v>11.720169294185219</v>
      </c>
      <c r="BX54" s="390">
        <f ca="1">+'Income Statement'!DE41/Summary!BX65</f>
        <v>12.58072512504125</v>
      </c>
      <c r="BY54" s="390">
        <f ca="1">+'Income Statement'!DF41/Summary!BY65</f>
        <v>12.981545099646098</v>
      </c>
      <c r="BZ54" s="390">
        <f ca="1">+'Income Statement'!DG41/Summary!BZ65</f>
        <v>13.258230610130777</v>
      </c>
      <c r="CA54" s="390">
        <f ca="1">+'Income Statement'!DH41/Summary!CA65</f>
        <v>13.484013707970645</v>
      </c>
      <c r="CB54" s="390">
        <f ca="1">+'Income Statement'!DI41/Summary!CB65</f>
        <v>14.558281744453961</v>
      </c>
      <c r="CC54" s="390">
        <f ca="1">+'Income Statement'!DJ41/Summary!CC65</f>
        <v>15.319653076313914</v>
      </c>
      <c r="CD54" s="390">
        <f ca="1">+'Income Statement'!DK41/Summary!CD65</f>
        <v>15.87645584172836</v>
      </c>
      <c r="CE54" s="390">
        <f ca="1">+'Income Statement'!DL41/Summary!CE65</f>
        <v>16.329466302276195</v>
      </c>
      <c r="CF54" s="390">
        <f ca="1">+'Income Statement'!DM41/Summary!CF65</f>
        <v>17.323151876897835</v>
      </c>
      <c r="CG54" s="390">
        <f ca="1">+'Income Statement'!DN41/Summary!CG65</f>
        <v>17.695807358856481</v>
      </c>
      <c r="CH54" s="390">
        <f ca="1">+'Income Statement'!DO41/Summary!CH65</f>
        <v>18.099648555973342</v>
      </c>
      <c r="CI54" s="390">
        <f ca="1">+'Income Statement'!DP41/Summary!CI65</f>
        <v>18.300628414604279</v>
      </c>
      <c r="CJ54" s="390">
        <f ca="1">+'Income Statement'!DQ41/Summary!CJ65</f>
        <v>19.770097590756261</v>
      </c>
      <c r="CK54" s="390">
        <f ca="1">+'Income Statement'!DR41/Summary!CK65</f>
        <v>20.529738983139396</v>
      </c>
      <c r="CL54" s="390">
        <f ca="1">+'Income Statement'!DS41/Summary!CL65</f>
        <v>21.166364661236951</v>
      </c>
      <c r="CM54" s="390">
        <f ca="1">+'Income Statement'!DT41/Summary!CM65</f>
        <v>21.431601317217897</v>
      </c>
      <c r="CN54" s="390">
        <f ca="1">+'Income Statement'!DU41/Summary!CN65</f>
        <v>23.056346001279191</v>
      </c>
      <c r="CO54" s="390">
        <f ca="1">+'Income Statement'!DV41/Summary!CO65</f>
        <v>23.891303440582607</v>
      </c>
      <c r="CP54" s="390">
        <f ca="1">+'Income Statement'!DW41/Summary!CP65</f>
        <v>24.503630716572157</v>
      </c>
      <c r="CQ54" s="390">
        <f ca="1">+'Income Statement'!DX41/Summary!CQ65</f>
        <v>24.871250371210053</v>
      </c>
    </row>
    <row r="55" spans="1:95" s="325" customFormat="1" ht="11.25" customHeight="1">
      <c r="A55" s="336" t="s">
        <v>350</v>
      </c>
      <c r="B55" s="334"/>
      <c r="C55" s="334"/>
      <c r="D55" s="334" t="e">
        <f t="shared" ref="D55:U55" si="90">+D54/C54-1</f>
        <v>#DIV/0!</v>
      </c>
      <c r="E55" s="334" t="e">
        <f t="shared" si="90"/>
        <v>#DIV/0!</v>
      </c>
      <c r="F55" s="334" t="e">
        <f t="shared" si="90"/>
        <v>#DIV/0!</v>
      </c>
      <c r="G55" s="334" t="e">
        <f t="shared" si="90"/>
        <v>#DIV/0!</v>
      </c>
      <c r="H55" s="334" t="e">
        <f t="shared" si="90"/>
        <v>#DIV/0!</v>
      </c>
      <c r="I55" s="334" t="e">
        <f t="shared" si="90"/>
        <v>#DIV/0!</v>
      </c>
      <c r="J55" s="334">
        <f t="shared" si="90"/>
        <v>0.14504775024556182</v>
      </c>
      <c r="K55" s="334">
        <f t="shared" si="90"/>
        <v>0.22233838584514998</v>
      </c>
      <c r="L55" s="334">
        <f t="shared" si="90"/>
        <v>5.4476435362935005E-2</v>
      </c>
      <c r="M55" s="334">
        <f t="shared" si="90"/>
        <v>-0.26025109712590522</v>
      </c>
      <c r="N55" s="334">
        <f t="shared" si="90"/>
        <v>0.55185576265607472</v>
      </c>
      <c r="O55" s="334">
        <f t="shared" si="90"/>
        <v>0.29501513273037494</v>
      </c>
      <c r="P55" s="333">
        <f t="shared" ca="1" si="90"/>
        <v>0.13778745682287452</v>
      </c>
      <c r="Q55" s="333">
        <f t="shared" ca="1" si="90"/>
        <v>0.18571571438764378</v>
      </c>
      <c r="R55" s="333">
        <f t="shared" ca="1" si="90"/>
        <v>0.18696937553991577</v>
      </c>
      <c r="S55" s="333">
        <f t="shared" ca="1" si="90"/>
        <v>0.15036725644891202</v>
      </c>
      <c r="T55" s="333">
        <f t="shared" ca="1" si="90"/>
        <v>0.16072093396317921</v>
      </c>
      <c r="U55" s="333">
        <f t="shared" ca="1" si="90"/>
        <v>0.16194311023884733</v>
      </c>
      <c r="V55" s="323"/>
      <c r="W55" s="336" t="s">
        <v>350</v>
      </c>
      <c r="X55" s="334">
        <v>0</v>
      </c>
      <c r="Y55" s="334" t="e">
        <f t="shared" ref="Y55:BD55" si="91">+Y54/X54-1</f>
        <v>#DIV/0!</v>
      </c>
      <c r="Z55" s="334" t="e">
        <f t="shared" si="91"/>
        <v>#DIV/0!</v>
      </c>
      <c r="AA55" s="334" t="e">
        <f t="shared" si="91"/>
        <v>#DIV/0!</v>
      </c>
      <c r="AB55" s="334" t="e">
        <f t="shared" si="91"/>
        <v>#DIV/0!</v>
      </c>
      <c r="AC55" s="334" t="e">
        <f t="shared" si="91"/>
        <v>#DIV/0!</v>
      </c>
      <c r="AD55" s="334" t="e">
        <f t="shared" si="91"/>
        <v>#DIV/0!</v>
      </c>
      <c r="AE55" s="334" t="e">
        <f t="shared" si="91"/>
        <v>#DIV/0!</v>
      </c>
      <c r="AF55" s="334" t="e">
        <f t="shared" si="91"/>
        <v>#DIV/0!</v>
      </c>
      <c r="AG55" s="334" t="e">
        <f t="shared" si="91"/>
        <v>#DIV/0!</v>
      </c>
      <c r="AH55" s="334" t="e">
        <f t="shared" si="91"/>
        <v>#DIV/0!</v>
      </c>
      <c r="AI55" s="334" t="e">
        <f t="shared" si="91"/>
        <v>#DIV/0!</v>
      </c>
      <c r="AJ55" s="334" t="e">
        <f t="shared" si="91"/>
        <v>#DIV/0!</v>
      </c>
      <c r="AK55" s="334" t="e">
        <f t="shared" si="91"/>
        <v>#DIV/0!</v>
      </c>
      <c r="AL55" s="334" t="e">
        <f t="shared" si="91"/>
        <v>#DIV/0!</v>
      </c>
      <c r="AM55" s="334" t="e">
        <f t="shared" si="91"/>
        <v>#DIV/0!</v>
      </c>
      <c r="AN55" s="334" t="e">
        <f t="shared" si="91"/>
        <v>#DIV/0!</v>
      </c>
      <c r="AO55" s="334" t="e">
        <f t="shared" si="91"/>
        <v>#DIV/0!</v>
      </c>
      <c r="AP55" s="334" t="e">
        <f t="shared" si="91"/>
        <v>#DIV/0!</v>
      </c>
      <c r="AQ55" s="334" t="e">
        <f t="shared" si="91"/>
        <v>#DIV/0!</v>
      </c>
      <c r="AR55" s="334" t="e">
        <f t="shared" si="91"/>
        <v>#DIV/0!</v>
      </c>
      <c r="AS55" s="334">
        <f t="shared" si="91"/>
        <v>-2.2456635010181469E-2</v>
      </c>
      <c r="AT55" s="334">
        <f t="shared" si="91"/>
        <v>3.3263501713551635E-2</v>
      </c>
      <c r="AU55" s="334">
        <f t="shared" si="91"/>
        <v>-9.7663744970897248E-3</v>
      </c>
      <c r="AV55" s="334">
        <f t="shared" si="91"/>
        <v>-1.8991998419364275E-3</v>
      </c>
      <c r="AW55" s="334">
        <f t="shared" si="91"/>
        <v>0.30367508108495667</v>
      </c>
      <c r="AX55" s="334">
        <f t="shared" si="91"/>
        <v>-4.8629153709448203E-2</v>
      </c>
      <c r="AY55" s="334">
        <f t="shared" si="91"/>
        <v>-0.16949157640382029</v>
      </c>
      <c r="AZ55" s="334">
        <f t="shared" si="91"/>
        <v>0.34095209767208345</v>
      </c>
      <c r="BA55" s="334">
        <f t="shared" si="91"/>
        <v>-8.9477989011553793E-3</v>
      </c>
      <c r="BB55" s="334">
        <f t="shared" si="91"/>
        <v>-3.0466179695531559E-2</v>
      </c>
      <c r="BC55" s="334">
        <f t="shared" si="91"/>
        <v>0.14046812109410944</v>
      </c>
      <c r="BD55" s="334">
        <f t="shared" si="91"/>
        <v>-5.1607545149188749E-2</v>
      </c>
      <c r="BE55" s="334">
        <f t="shared" ref="BE55:CI55" si="92">+BE54/BD54-1</f>
        <v>-8.372177653328694E-2</v>
      </c>
      <c r="BF55" s="334">
        <f t="shared" si="92"/>
        <v>0.28173885081311112</v>
      </c>
      <c r="BG55" s="335">
        <f t="shared" si="92"/>
        <v>-0.13469845636885436</v>
      </c>
      <c r="BH55" s="334">
        <f t="shared" si="92"/>
        <v>-8.84145620168727E-2</v>
      </c>
      <c r="BI55" s="334">
        <f t="shared" si="92"/>
        <v>-0.68861049291308141</v>
      </c>
      <c r="BJ55" s="334">
        <f t="shared" si="92"/>
        <v>2.4295033701493933</v>
      </c>
      <c r="BK55" s="334">
        <f t="shared" si="92"/>
        <v>-0.15702137088807999</v>
      </c>
      <c r="BL55" s="334">
        <f t="shared" si="92"/>
        <v>0.567628057114</v>
      </c>
      <c r="BM55" s="334">
        <f t="shared" si="92"/>
        <v>-0.11695519101039775</v>
      </c>
      <c r="BN55" s="334">
        <f t="shared" si="92"/>
        <v>0.10390021310583819</v>
      </c>
      <c r="BO55" s="334">
        <f t="shared" si="92"/>
        <v>-0.23213336741887258</v>
      </c>
      <c r="BP55" s="334">
        <f t="shared" si="92"/>
        <v>0.62373286952591567</v>
      </c>
      <c r="BQ55" s="334">
        <f t="shared" si="92"/>
        <v>-6.8892244030643535E-2</v>
      </c>
      <c r="BR55" s="334">
        <f t="shared" si="92"/>
        <v>7.7205906885805975E-2</v>
      </c>
      <c r="BS55" s="334">
        <f t="shared" si="92"/>
        <v>-9.4175148207571224E-2</v>
      </c>
      <c r="BT55" s="333">
        <f t="shared" ca="1" si="92"/>
        <v>0.12635820920197816</v>
      </c>
      <c r="BU55" s="333">
        <f t="shared" ca="1" si="92"/>
        <v>3.3905368628921684E-2</v>
      </c>
      <c r="BV55" s="333">
        <f t="shared" ca="1" si="92"/>
        <v>6.7174062924523659E-2</v>
      </c>
      <c r="BW55" s="333">
        <f t="shared" ca="1" si="92"/>
        <v>2.8799293561950989E-2</v>
      </c>
      <c r="BX55" s="333">
        <f t="shared" ca="1" si="92"/>
        <v>7.3425204811929046E-2</v>
      </c>
      <c r="BY55" s="333">
        <f t="shared" ca="1" si="92"/>
        <v>3.1859846759312749E-2</v>
      </c>
      <c r="BZ55" s="333">
        <f t="shared" ca="1" si="92"/>
        <v>2.1313757981876957E-2</v>
      </c>
      <c r="CA55" s="333">
        <f t="shared" ca="1" si="92"/>
        <v>1.7029655349888317E-2</v>
      </c>
      <c r="CB55" s="333">
        <f t="shared" ca="1" si="92"/>
        <v>7.966975262330811E-2</v>
      </c>
      <c r="CC55" s="333">
        <f t="shared" ca="1" si="92"/>
        <v>5.2298158891587621E-2</v>
      </c>
      <c r="CD55" s="333">
        <f t="shared" ca="1" si="92"/>
        <v>3.6345651082355879E-2</v>
      </c>
      <c r="CE55" s="333">
        <f t="shared" ca="1" si="92"/>
        <v>2.8533475295990263E-2</v>
      </c>
      <c r="CF55" s="333">
        <f t="shared" ca="1" si="92"/>
        <v>6.0852299531866993E-2</v>
      </c>
      <c r="CG55" s="333">
        <f t="shared" ca="1" si="92"/>
        <v>2.1511990693542371E-2</v>
      </c>
      <c r="CH55" s="333">
        <f t="shared" ca="1" si="92"/>
        <v>2.2821292576670427E-2</v>
      </c>
      <c r="CI55" s="333">
        <f t="shared" ca="1" si="92"/>
        <v>1.1104075198444141E-2</v>
      </c>
      <c r="CJ55" s="333">
        <f t="shared" ref="CJ55" ca="1" si="93">+CJ54/CI54-1</f>
        <v>8.029610474902138E-2</v>
      </c>
      <c r="CK55" s="333">
        <f t="shared" ref="CK55" ca="1" si="94">+CK54/CJ54-1</f>
        <v>3.8423755315113439E-2</v>
      </c>
      <c r="CL55" s="333">
        <f t="shared" ref="CL55" ca="1" si="95">+CL54/CK54-1</f>
        <v>3.1009925582609732E-2</v>
      </c>
      <c r="CM55" s="333">
        <f t="shared" ref="CM55" ca="1" si="96">+CM54/CL54-1</f>
        <v>1.2531044429499483E-2</v>
      </c>
      <c r="CN55" s="333">
        <f t="shared" ref="CN55" ca="1" si="97">+CN54/CM54-1</f>
        <v>7.581069935058915E-2</v>
      </c>
      <c r="CO55" s="333">
        <f t="shared" ref="CO55" ca="1" si="98">+CO54/CN54-1</f>
        <v>3.6213779896306697E-2</v>
      </c>
      <c r="CP55" s="333">
        <f t="shared" ref="CP55" ca="1" si="99">+CP54/CO54-1</f>
        <v>2.5629714072001208E-2</v>
      </c>
      <c r="CQ55" s="333">
        <f t="shared" ref="CQ55" ca="1" si="100">+CQ54/CP54-1</f>
        <v>1.5002660580795801E-2</v>
      </c>
    </row>
    <row r="56" spans="1:95" s="325" customFormat="1" ht="11.25" customHeight="1">
      <c r="A56" s="329" t="s">
        <v>482</v>
      </c>
      <c r="B56" s="391"/>
      <c r="C56" s="391" t="e">
        <f>+SUM(W56:Z56)</f>
        <v>#DIV/0!</v>
      </c>
      <c r="D56" s="391" t="e">
        <f>+SUM(X56:AA56)</f>
        <v>#DIV/0!</v>
      </c>
      <c r="E56" s="391" t="e">
        <f>+SUM(AB56:AE56)</f>
        <v>#DIV/0!</v>
      </c>
      <c r="F56" s="391" t="e">
        <f>+SUM(AF56:AI56)</f>
        <v>#DIV/0!</v>
      </c>
      <c r="G56" s="391" t="e">
        <f>+SUM(AJ56:AM56)</f>
        <v>#DIV/0!</v>
      </c>
      <c r="H56" s="391" t="e">
        <f>+SUM(AN56:AQ56)</f>
        <v>#DIV/0!</v>
      </c>
      <c r="I56" s="391">
        <f>+SUM(AR56:AU56)</f>
        <v>17.66993715185464</v>
      </c>
      <c r="J56" s="391">
        <f>+SUM(AV56:AY56)</f>
        <v>20.232921782711635</v>
      </c>
      <c r="K56" s="391">
        <f>+SUM(AZ56:BC56)</f>
        <v>24.731476952810912</v>
      </c>
      <c r="L56" s="391">
        <f>+SUM(BD56:BG56)</f>
        <v>26.078759658460633</v>
      </c>
      <c r="M56" s="391">
        <f>+SUM(BH56:BK56)</f>
        <v>19.291733845663451</v>
      </c>
      <c r="N56" s="391">
        <f>+SUM(BL56:BO56)</f>
        <v>30.372792753259777</v>
      </c>
      <c r="O56" s="391">
        <f>+SUM(BP56:BS56)</f>
        <v>38.512750752256764</v>
      </c>
      <c r="P56" s="390">
        <f ca="1">+SUM(BT56:BW56)</f>
        <v>44.11218802965864</v>
      </c>
      <c r="Q56" s="390">
        <f ca="1">+SUM(BX56:CA56)</f>
        <v>52.304514542788766</v>
      </c>
      <c r="R56" s="390">
        <f ca="1">+SUM(CB56:CE56)</f>
        <v>62.08385696477243</v>
      </c>
      <c r="S56" s="390">
        <f ca="1">+SUM(CF56:CI56)</f>
        <v>71.419236206331945</v>
      </c>
      <c r="T56" s="390">
        <f ca="1">+SUM(CJ56:CM56)</f>
        <v>82.897802552350512</v>
      </c>
      <c r="U56" s="390">
        <f ca="1">+SUM(CN56:CQ56)</f>
        <v>96.322530529644013</v>
      </c>
      <c r="V56" s="323"/>
      <c r="W56" s="329" t="s">
        <v>356</v>
      </c>
      <c r="X56" s="391" t="e">
        <f>+'Income Statement'!BE39/Summary!X65</f>
        <v>#DIV/0!</v>
      </c>
      <c r="Y56" s="391" t="e">
        <f>+'Income Statement'!BF39/Summary!Y65</f>
        <v>#DIV/0!</v>
      </c>
      <c r="Z56" s="391" t="e">
        <f>+'Income Statement'!BG39/Summary!Z65</f>
        <v>#DIV/0!</v>
      </c>
      <c r="AA56" s="391" t="e">
        <f>+'Income Statement'!BH39/Summary!AA65</f>
        <v>#DIV/0!</v>
      </c>
      <c r="AB56" s="391" t="e">
        <f>+'Income Statement'!BI39/Summary!AB65</f>
        <v>#DIV/0!</v>
      </c>
      <c r="AC56" s="391" t="e">
        <f>+'Income Statement'!BJ39/Summary!AC65</f>
        <v>#DIV/0!</v>
      </c>
      <c r="AD56" s="391" t="e">
        <f>+'Income Statement'!BK39/Summary!AD65</f>
        <v>#DIV/0!</v>
      </c>
      <c r="AE56" s="391" t="e">
        <f>+'Income Statement'!BL39/Summary!AE65</f>
        <v>#DIV/0!</v>
      </c>
      <c r="AF56" s="391" t="e">
        <f>+'Income Statement'!BM39/Summary!AF65</f>
        <v>#DIV/0!</v>
      </c>
      <c r="AG56" s="391" t="e">
        <f>+'Income Statement'!BN39/Summary!AG65</f>
        <v>#DIV/0!</v>
      </c>
      <c r="AH56" s="391" t="e">
        <f>+'Income Statement'!BO39/Summary!AH65</f>
        <v>#DIV/0!</v>
      </c>
      <c r="AI56" s="391" t="e">
        <f>+'Income Statement'!BP39/Summary!AI65</f>
        <v>#DIV/0!</v>
      </c>
      <c r="AJ56" s="391" t="e">
        <f>+'Income Statement'!BQ39/Summary!AJ65</f>
        <v>#DIV/0!</v>
      </c>
      <c r="AK56" s="391" t="e">
        <f>+'Income Statement'!BR39/Summary!AK65</f>
        <v>#DIV/0!</v>
      </c>
      <c r="AL56" s="391" t="e">
        <f>+'Income Statement'!BS39/Summary!AL65</f>
        <v>#DIV/0!</v>
      </c>
      <c r="AM56" s="391" t="e">
        <f>+'Income Statement'!BT39/Summary!AM65</f>
        <v>#DIV/0!</v>
      </c>
      <c r="AN56" s="391" t="e">
        <f>+'Income Statement'!BU39/Summary!AN65</f>
        <v>#DIV/0!</v>
      </c>
      <c r="AO56" s="391" t="e">
        <f>+'Income Statement'!BV39/Summary!AO65</f>
        <v>#DIV/0!</v>
      </c>
      <c r="AP56" s="391" t="e">
        <f>+'Income Statement'!BW39/Summary!AP65</f>
        <v>#DIV/0!</v>
      </c>
      <c r="AQ56" s="391" t="e">
        <f>+'Income Statement'!BX39/Summary!AQ65</f>
        <v>#DIV/0!</v>
      </c>
      <c r="AR56" s="391">
        <f>+'Income Statement'!BY39/Summary!AR65</f>
        <v>4.4310004981105804</v>
      </c>
      <c r="AS56" s="391">
        <f>+'Income Statement'!BZ39/Summary!AS65</f>
        <v>4.3314951371945805</v>
      </c>
      <c r="AT56" s="391">
        <f>+'Income Statement'!CA39/Summary!AT65</f>
        <v>4.4755758331128934</v>
      </c>
      <c r="AU56" s="391">
        <f>+'Income Statement'!CB39/Summary!AU65</f>
        <v>4.4318656834365875</v>
      </c>
      <c r="AV56" s="391">
        <f>+'Income Statement'!CC39/Summary!AV65</f>
        <v>4.4234486848311212</v>
      </c>
      <c r="AW56" s="391">
        <f>+'Income Statement'!CD39/Summary!AW65</f>
        <v>5.7667398228723572</v>
      </c>
      <c r="AX56" s="391">
        <f>+'Income Statement'!CE39/Summary!AX65</f>
        <v>5.4863081456235001</v>
      </c>
      <c r="AY56" s="391">
        <f>+'Income Statement'!CF39/Summary!AY65</f>
        <v>4.5564251293846567</v>
      </c>
      <c r="AZ56" s="391">
        <f>+'Income Statement'!CG39/Summary!AZ65</f>
        <v>6.1099478351341459</v>
      </c>
      <c r="BA56" s="391">
        <f>+'Income Statement'!CH39/Summary!BA65</f>
        <v>6.0552772506088157</v>
      </c>
      <c r="BB56" s="391">
        <f>+'Income Statement'!CI39/Summary!BB65</f>
        <v>5.8707960857855062</v>
      </c>
      <c r="BC56" s="391">
        <f>+'Income Statement'!CJ39/Summary!BC65</f>
        <v>6.6954557812824449</v>
      </c>
      <c r="BD56" s="391">
        <f>+'Income Statement'!CK39/Summary!BD65</f>
        <v>6.3499197447555122</v>
      </c>
      <c r="BE56" s="391">
        <f>+'Income Statement'!CL39/Summary!BE65</f>
        <v>5.8182931828807867</v>
      </c>
      <c r="BF56" s="391">
        <f>+'Income Statement'!CM39/Summary!BF65</f>
        <v>7.4575324179193778</v>
      </c>
      <c r="BG56" s="392">
        <f>+'Income Statement'!CN39/Summary!BG65</f>
        <v>6.4530143129049549</v>
      </c>
      <c r="BH56" s="391">
        <f>+'Income Statement'!CO39/Summary!BH65</f>
        <v>5.8824738787408464</v>
      </c>
      <c r="BI56" s="391">
        <f>+'Income Statement'!CP39/Summary!BI65</f>
        <v>1.8317406415527859</v>
      </c>
      <c r="BJ56" s="391">
        <f>+'Income Statement'!CQ39/Summary!BJ65</f>
        <v>6.2819607034448914</v>
      </c>
      <c r="BK56" s="391">
        <f>+'Income Statement'!CR39/Summary!BK65</f>
        <v>5.2955586219249291</v>
      </c>
      <c r="BL56" s="391">
        <f>+'Income Statement'!CS39/Summary!BL65</f>
        <v>7.5614963640922763</v>
      </c>
      <c r="BM56" s="391">
        <f>+'Income Statement'!CT39/Summary!BM65</f>
        <v>7.3305667001003005</v>
      </c>
      <c r="BN56" s="391">
        <f>+'Income Statement'!CU39/Summary!BN65</f>
        <v>8.0922141424272827</v>
      </c>
      <c r="BO56" s="391">
        <f>+'Income Statement'!CV39/Summary!BO65</f>
        <v>7.3885155466399199</v>
      </c>
      <c r="BP56" s="391">
        <f>+'Income Statement'!CW39/Summary!BP65</f>
        <v>10.089455867602808</v>
      </c>
      <c r="BQ56" s="391">
        <f>+'Income Statement'!CX39/Summary!BQ65</f>
        <v>9.394370611835507</v>
      </c>
      <c r="BR56" s="391">
        <f>+'Income Statement'!CY39/Summary!BR65</f>
        <v>9.3804162487462381</v>
      </c>
      <c r="BS56" s="391">
        <f>+'Income Statement'!CZ39/Summary!BS65</f>
        <v>9.6485080240722159</v>
      </c>
      <c r="BT56" s="390">
        <f ca="1">+'Income Statement'!DA39/Summary!BT65</f>
        <v>10.32493142189394</v>
      </c>
      <c r="BU56" s="390">
        <f ca="1">+'Income Statement'!DB39/Summary!BU65</f>
        <v>10.67500202782159</v>
      </c>
      <c r="BV56" s="390">
        <f ca="1">+'Income Statement'!DC39/Summary!BV65</f>
        <v>11.392085285757894</v>
      </c>
      <c r="BW56" s="390">
        <f ca="1">+'Income Statement'!DD39/Summary!BW65</f>
        <v>11.720169294185219</v>
      </c>
      <c r="BX56" s="390">
        <f ca="1">+'Income Statement'!DE39/Summary!BX65</f>
        <v>12.58072512504125</v>
      </c>
      <c r="BY56" s="390">
        <f ca="1">+'Income Statement'!DF39/Summary!BY65</f>
        <v>12.981545099646098</v>
      </c>
      <c r="BZ56" s="390">
        <f ca="1">+'Income Statement'!DG39/Summary!BZ65</f>
        <v>13.258230610130777</v>
      </c>
      <c r="CA56" s="390">
        <f ca="1">+'Income Statement'!DH39/Summary!CA65</f>
        <v>13.484013707970645</v>
      </c>
      <c r="CB56" s="390">
        <f ca="1">+'Income Statement'!DI39/Summary!CB65</f>
        <v>14.558281744453961</v>
      </c>
      <c r="CC56" s="390">
        <f ca="1">+'Income Statement'!DJ39/Summary!CC65</f>
        <v>15.319653076313914</v>
      </c>
      <c r="CD56" s="390">
        <f ca="1">+'Income Statement'!DK39/Summary!CD65</f>
        <v>15.87645584172836</v>
      </c>
      <c r="CE56" s="390">
        <f ca="1">+'Income Statement'!DL39/Summary!CE65</f>
        <v>16.329466302276195</v>
      </c>
      <c r="CF56" s="390">
        <f ca="1">+'Income Statement'!DM39/Summary!CF65</f>
        <v>17.323151876897835</v>
      </c>
      <c r="CG56" s="390">
        <f ca="1">+'Income Statement'!DN39/Summary!CG65</f>
        <v>17.695807358856481</v>
      </c>
      <c r="CH56" s="390">
        <f ca="1">+'Income Statement'!DO39/Summary!CH65</f>
        <v>18.099648555973342</v>
      </c>
      <c r="CI56" s="390">
        <f ca="1">+'Income Statement'!DP39/Summary!CI65</f>
        <v>18.300628414604279</v>
      </c>
      <c r="CJ56" s="390">
        <f ca="1">+'Income Statement'!DQ39/Summary!CJ65</f>
        <v>19.770097590756261</v>
      </c>
      <c r="CK56" s="390">
        <f ca="1">+'Income Statement'!DR39/Summary!CK65</f>
        <v>20.529738983139396</v>
      </c>
      <c r="CL56" s="390">
        <f ca="1">+'Income Statement'!DS39/Summary!CL65</f>
        <v>21.166364661236951</v>
      </c>
      <c r="CM56" s="390">
        <f ca="1">+'Income Statement'!DT39/Summary!CM65</f>
        <v>21.431601317217897</v>
      </c>
      <c r="CN56" s="390">
        <f ca="1">+'Income Statement'!DU39/Summary!CN65</f>
        <v>23.056346001279191</v>
      </c>
      <c r="CO56" s="390">
        <f ca="1">+'Income Statement'!DV39/Summary!CO65</f>
        <v>23.891303440582607</v>
      </c>
      <c r="CP56" s="390">
        <f ca="1">+'Income Statement'!DW39/Summary!CP65</f>
        <v>24.503630716572157</v>
      </c>
      <c r="CQ56" s="390">
        <f ca="1">+'Income Statement'!DX39/Summary!CQ65</f>
        <v>24.871250371210053</v>
      </c>
    </row>
    <row r="57" spans="1:95" s="325" customFormat="1" ht="11.25" customHeight="1">
      <c r="A57" s="336" t="s">
        <v>350</v>
      </c>
      <c r="B57" s="334"/>
      <c r="C57" s="334"/>
      <c r="D57" s="334" t="e">
        <f t="shared" ref="D57:U57" si="101">+D56/C56-1</f>
        <v>#DIV/0!</v>
      </c>
      <c r="E57" s="334" t="e">
        <f t="shared" si="101"/>
        <v>#DIV/0!</v>
      </c>
      <c r="F57" s="334" t="e">
        <f t="shared" si="101"/>
        <v>#DIV/0!</v>
      </c>
      <c r="G57" s="334" t="e">
        <f t="shared" si="101"/>
        <v>#DIV/0!</v>
      </c>
      <c r="H57" s="334" t="e">
        <f t="shared" si="101"/>
        <v>#DIV/0!</v>
      </c>
      <c r="I57" s="334" t="e">
        <f t="shared" si="101"/>
        <v>#DIV/0!</v>
      </c>
      <c r="J57" s="334">
        <f t="shared" si="101"/>
        <v>0.14504775024556227</v>
      </c>
      <c r="K57" s="334">
        <f t="shared" si="101"/>
        <v>0.22233838584514976</v>
      </c>
      <c r="L57" s="334">
        <f t="shared" si="101"/>
        <v>5.4476435362935005E-2</v>
      </c>
      <c r="M57" s="334">
        <f t="shared" si="101"/>
        <v>-0.26025109712590544</v>
      </c>
      <c r="N57" s="334">
        <f t="shared" si="101"/>
        <v>0.5743941418768439</v>
      </c>
      <c r="O57" s="334">
        <f t="shared" si="101"/>
        <v>0.26800163110201192</v>
      </c>
      <c r="P57" s="333">
        <f t="shared" ca="1" si="101"/>
        <v>0.14539177721741314</v>
      </c>
      <c r="Q57" s="333">
        <f t="shared" ca="1" si="101"/>
        <v>0.18571571438764378</v>
      </c>
      <c r="R57" s="333">
        <f t="shared" ca="1" si="101"/>
        <v>0.18696937553991577</v>
      </c>
      <c r="S57" s="333">
        <f t="shared" ca="1" si="101"/>
        <v>0.15036725644891202</v>
      </c>
      <c r="T57" s="333">
        <f t="shared" ca="1" si="101"/>
        <v>0.16072093396317921</v>
      </c>
      <c r="U57" s="333">
        <f t="shared" ca="1" si="101"/>
        <v>0.16194311023884733</v>
      </c>
      <c r="V57" s="323"/>
      <c r="W57" s="336" t="s">
        <v>350</v>
      </c>
      <c r="X57" s="334">
        <v>0</v>
      </c>
      <c r="Y57" s="334" t="e">
        <f t="shared" ref="Y57:BD57" si="102">+Y56/X56-1</f>
        <v>#DIV/0!</v>
      </c>
      <c r="Z57" s="334" t="e">
        <f t="shared" si="102"/>
        <v>#DIV/0!</v>
      </c>
      <c r="AA57" s="334" t="e">
        <f t="shared" si="102"/>
        <v>#DIV/0!</v>
      </c>
      <c r="AB57" s="334" t="e">
        <f t="shared" si="102"/>
        <v>#DIV/0!</v>
      </c>
      <c r="AC57" s="334" t="e">
        <f t="shared" si="102"/>
        <v>#DIV/0!</v>
      </c>
      <c r="AD57" s="334" t="e">
        <f t="shared" si="102"/>
        <v>#DIV/0!</v>
      </c>
      <c r="AE57" s="334" t="e">
        <f t="shared" si="102"/>
        <v>#DIV/0!</v>
      </c>
      <c r="AF57" s="334" t="e">
        <f t="shared" si="102"/>
        <v>#DIV/0!</v>
      </c>
      <c r="AG57" s="334" t="e">
        <f t="shared" si="102"/>
        <v>#DIV/0!</v>
      </c>
      <c r="AH57" s="334" t="e">
        <f t="shared" si="102"/>
        <v>#DIV/0!</v>
      </c>
      <c r="AI57" s="334" t="e">
        <f t="shared" si="102"/>
        <v>#DIV/0!</v>
      </c>
      <c r="AJ57" s="334" t="e">
        <f t="shared" si="102"/>
        <v>#DIV/0!</v>
      </c>
      <c r="AK57" s="334" t="e">
        <f t="shared" si="102"/>
        <v>#DIV/0!</v>
      </c>
      <c r="AL57" s="334" t="e">
        <f t="shared" si="102"/>
        <v>#DIV/0!</v>
      </c>
      <c r="AM57" s="334" t="e">
        <f t="shared" si="102"/>
        <v>#DIV/0!</v>
      </c>
      <c r="AN57" s="334" t="e">
        <f t="shared" si="102"/>
        <v>#DIV/0!</v>
      </c>
      <c r="AO57" s="334" t="e">
        <f t="shared" si="102"/>
        <v>#DIV/0!</v>
      </c>
      <c r="AP57" s="334" t="e">
        <f t="shared" si="102"/>
        <v>#DIV/0!</v>
      </c>
      <c r="AQ57" s="334" t="e">
        <f t="shared" si="102"/>
        <v>#DIV/0!</v>
      </c>
      <c r="AR57" s="334" t="e">
        <f t="shared" si="102"/>
        <v>#DIV/0!</v>
      </c>
      <c r="AS57" s="334">
        <f t="shared" si="102"/>
        <v>-2.2456635010181136E-2</v>
      </c>
      <c r="AT57" s="334">
        <f t="shared" si="102"/>
        <v>3.3263501713551635E-2</v>
      </c>
      <c r="AU57" s="334">
        <f t="shared" si="102"/>
        <v>-9.7663744970899469E-3</v>
      </c>
      <c r="AV57" s="334">
        <f t="shared" si="102"/>
        <v>-1.8991998419364275E-3</v>
      </c>
      <c r="AW57" s="334">
        <f t="shared" si="102"/>
        <v>0.30367508108495667</v>
      </c>
      <c r="AX57" s="334">
        <f t="shared" si="102"/>
        <v>-4.8629153709448425E-2</v>
      </c>
      <c r="AY57" s="334">
        <f t="shared" si="102"/>
        <v>-0.16949157640381962</v>
      </c>
      <c r="AZ57" s="334">
        <f t="shared" si="102"/>
        <v>0.34095209767208257</v>
      </c>
      <c r="BA57" s="334">
        <f t="shared" si="102"/>
        <v>-8.9477989011553793E-3</v>
      </c>
      <c r="BB57" s="334">
        <f t="shared" si="102"/>
        <v>-3.0466179695531115E-2</v>
      </c>
      <c r="BC57" s="334">
        <f t="shared" si="102"/>
        <v>0.14046812109410878</v>
      </c>
      <c r="BD57" s="334">
        <f t="shared" si="102"/>
        <v>-5.1607545149189082E-2</v>
      </c>
      <c r="BE57" s="334">
        <f t="shared" ref="BE57:CI57" si="103">+BE56/BD56-1</f>
        <v>-8.3721776533286607E-2</v>
      </c>
      <c r="BF57" s="334">
        <f t="shared" si="103"/>
        <v>0.28173885081311112</v>
      </c>
      <c r="BG57" s="335">
        <f t="shared" si="103"/>
        <v>-0.13469845636885336</v>
      </c>
      <c r="BH57" s="334">
        <f t="shared" si="103"/>
        <v>-8.8414562016873699E-2</v>
      </c>
      <c r="BI57" s="334">
        <f t="shared" si="103"/>
        <v>-0.68861049291308141</v>
      </c>
      <c r="BJ57" s="334">
        <f t="shared" si="103"/>
        <v>2.4295033701493933</v>
      </c>
      <c r="BK57" s="334">
        <f t="shared" si="103"/>
        <v>-0.15702137088807966</v>
      </c>
      <c r="BL57" s="334">
        <f t="shared" si="103"/>
        <v>0.42789399644936443</v>
      </c>
      <c r="BM57" s="334">
        <f t="shared" si="103"/>
        <v>-3.054020697392712E-2</v>
      </c>
      <c r="BN57" s="334">
        <f t="shared" si="103"/>
        <v>0.10390021310583819</v>
      </c>
      <c r="BO57" s="334">
        <f t="shared" si="103"/>
        <v>-8.6959957238141761E-2</v>
      </c>
      <c r="BP57" s="334">
        <f t="shared" si="103"/>
        <v>0.36555926612229928</v>
      </c>
      <c r="BQ57" s="334">
        <f t="shared" si="103"/>
        <v>-6.8892244030643535E-2</v>
      </c>
      <c r="BR57" s="334">
        <f t="shared" si="103"/>
        <v>-1.48539627249622E-3</v>
      </c>
      <c r="BS57" s="334">
        <f t="shared" si="103"/>
        <v>2.857994445201828E-2</v>
      </c>
      <c r="BT57" s="333">
        <f t="shared" ca="1" si="103"/>
        <v>7.0106527986928624E-2</v>
      </c>
      <c r="BU57" s="333">
        <f t="shared" ca="1" si="103"/>
        <v>3.3905368628921684E-2</v>
      </c>
      <c r="BV57" s="333">
        <f t="shared" ca="1" si="103"/>
        <v>6.7174062924523659E-2</v>
      </c>
      <c r="BW57" s="333">
        <f t="shared" ca="1" si="103"/>
        <v>2.8799293561950989E-2</v>
      </c>
      <c r="BX57" s="333">
        <f t="shared" ca="1" si="103"/>
        <v>7.3425204811929046E-2</v>
      </c>
      <c r="BY57" s="333">
        <f t="shared" ca="1" si="103"/>
        <v>3.1859846759312749E-2</v>
      </c>
      <c r="BZ57" s="333">
        <f t="shared" ca="1" si="103"/>
        <v>2.1313757981876957E-2</v>
      </c>
      <c r="CA57" s="333">
        <f t="shared" ca="1" si="103"/>
        <v>1.7029655349888317E-2</v>
      </c>
      <c r="CB57" s="333">
        <f t="shared" ca="1" si="103"/>
        <v>7.966975262330811E-2</v>
      </c>
      <c r="CC57" s="333">
        <f t="shared" ca="1" si="103"/>
        <v>5.2298158891587621E-2</v>
      </c>
      <c r="CD57" s="333">
        <f t="shared" ca="1" si="103"/>
        <v>3.6345651082355879E-2</v>
      </c>
      <c r="CE57" s="333">
        <f t="shared" ca="1" si="103"/>
        <v>2.8533475295990263E-2</v>
      </c>
      <c r="CF57" s="333">
        <f t="shared" ca="1" si="103"/>
        <v>6.0852299531866993E-2</v>
      </c>
      <c r="CG57" s="333">
        <f t="shared" ca="1" si="103"/>
        <v>2.1511990693542371E-2</v>
      </c>
      <c r="CH57" s="333">
        <f t="shared" ca="1" si="103"/>
        <v>2.2821292576670427E-2</v>
      </c>
      <c r="CI57" s="333">
        <f t="shared" ca="1" si="103"/>
        <v>1.1104075198444141E-2</v>
      </c>
      <c r="CJ57" s="333">
        <f t="shared" ref="CJ57" ca="1" si="104">+CJ56/CI56-1</f>
        <v>8.029610474902138E-2</v>
      </c>
      <c r="CK57" s="333">
        <f t="shared" ref="CK57" ca="1" si="105">+CK56/CJ56-1</f>
        <v>3.8423755315113439E-2</v>
      </c>
      <c r="CL57" s="333">
        <f t="shared" ref="CL57" ca="1" si="106">+CL56/CK56-1</f>
        <v>3.1009925582609732E-2</v>
      </c>
      <c r="CM57" s="333">
        <f t="shared" ref="CM57" ca="1" si="107">+CM56/CL56-1</f>
        <v>1.2531044429499483E-2</v>
      </c>
      <c r="CN57" s="333">
        <f t="shared" ref="CN57" ca="1" si="108">+CN56/CM56-1</f>
        <v>7.581069935058915E-2</v>
      </c>
      <c r="CO57" s="333">
        <f t="shared" ref="CO57" ca="1" si="109">+CO56/CN56-1</f>
        <v>3.6213779896306697E-2</v>
      </c>
      <c r="CP57" s="333">
        <f t="shared" ref="CP57" ca="1" si="110">+CP56/CO56-1</f>
        <v>2.5629714072001208E-2</v>
      </c>
      <c r="CQ57" s="333">
        <f t="shared" ref="CQ57" ca="1" si="111">+CQ56/CP56-1</f>
        <v>1.5002660580795801E-2</v>
      </c>
    </row>
    <row r="58" spans="1:95" s="325" customFormat="1" ht="11.25" customHeight="1">
      <c r="A58" s="329" t="s">
        <v>356</v>
      </c>
      <c r="B58" s="391"/>
      <c r="C58" s="391" t="e">
        <f>+SUM(W58:Z58)</f>
        <v>#DIV/0!</v>
      </c>
      <c r="D58" s="391" t="e">
        <f>+SUM(X58:AA58)</f>
        <v>#DIV/0!</v>
      </c>
      <c r="E58" s="391" t="e">
        <f>+SUM(AB58:AE58)</f>
        <v>#DIV/0!</v>
      </c>
      <c r="F58" s="391" t="e">
        <f>+SUM(AF58:AI58)</f>
        <v>#DIV/0!</v>
      </c>
      <c r="G58" s="391" t="e">
        <f>+SUM(AJ58:AM58)</f>
        <v>#DIV/0!</v>
      </c>
      <c r="H58" s="391" t="e">
        <f>+SUM(AN58:AQ58)</f>
        <v>#DIV/0!</v>
      </c>
      <c r="I58" s="391">
        <f>+SUM(AR58:AU58)+0.01</f>
        <v>6.0124760639482773</v>
      </c>
      <c r="J58" s="391">
        <f>+SUM(AV58:AY58)</f>
        <v>7.2011551822012203</v>
      </c>
      <c r="K58" s="391">
        <f>+SUM(AZ58:BC58)</f>
        <v>8.9355334601666812</v>
      </c>
      <c r="L58" s="391">
        <f>+SUM(BD58:BG58)</f>
        <v>9.8858289934627539</v>
      </c>
      <c r="M58" s="391">
        <f>+SUM(BH58:BK58)</f>
        <v>7.128217575229101</v>
      </c>
      <c r="N58" s="391">
        <f>+SUM(BL58:BO58)</f>
        <v>10.667969512056816</v>
      </c>
      <c r="O58" s="391">
        <f>+SUM(BP58:BS58)</f>
        <v>12.13203336190311</v>
      </c>
      <c r="P58" s="390">
        <f ca="1">+SUM(BT58:BW58)</f>
        <v>12.910951850959188</v>
      </c>
      <c r="Q58" s="390">
        <f ca="1">+SUM(BX58:CA58)</f>
        <v>15.307145022765225</v>
      </c>
      <c r="R58" s="390">
        <f ca="1">+SUM(CB58:CE58)</f>
        <v>18.169112368970566</v>
      </c>
      <c r="S58" s="390">
        <f ca="1">+SUM(CF58:CI58)</f>
        <v>20.901151948004667</v>
      </c>
      <c r="T58" s="390">
        <f ca="1">+SUM(CJ58:CM58)</f>
        <v>24.260404609994296</v>
      </c>
      <c r="U58" s="390">
        <f ca="1">+SUM(CN58:CQ58)</f>
        <v>28.189209988189642</v>
      </c>
      <c r="V58" s="323"/>
      <c r="W58" s="329" t="s">
        <v>355</v>
      </c>
      <c r="X58" s="391" t="e">
        <f t="shared" ref="X58:AQ58" si="112">X56*X13</f>
        <v>#DIV/0!</v>
      </c>
      <c r="Y58" s="391" t="e">
        <f t="shared" si="112"/>
        <v>#DIV/0!</v>
      </c>
      <c r="Z58" s="391" t="e">
        <f t="shared" si="112"/>
        <v>#DIV/0!</v>
      </c>
      <c r="AA58" s="391" t="e">
        <f t="shared" si="112"/>
        <v>#DIV/0!</v>
      </c>
      <c r="AB58" s="391" t="e">
        <f t="shared" si="112"/>
        <v>#DIV/0!</v>
      </c>
      <c r="AC58" s="391" t="e">
        <f t="shared" si="112"/>
        <v>#DIV/0!</v>
      </c>
      <c r="AD58" s="391" t="e">
        <f t="shared" si="112"/>
        <v>#DIV/0!</v>
      </c>
      <c r="AE58" s="391" t="e">
        <f t="shared" si="112"/>
        <v>#DIV/0!</v>
      </c>
      <c r="AF58" s="391" t="e">
        <f t="shared" si="112"/>
        <v>#DIV/0!</v>
      </c>
      <c r="AG58" s="391" t="e">
        <f t="shared" si="112"/>
        <v>#DIV/0!</v>
      </c>
      <c r="AH58" s="391" t="e">
        <f t="shared" si="112"/>
        <v>#DIV/0!</v>
      </c>
      <c r="AI58" s="391" t="e">
        <f t="shared" si="112"/>
        <v>#DIV/0!</v>
      </c>
      <c r="AJ58" s="391" t="e">
        <f t="shared" si="112"/>
        <v>#DIV/0!</v>
      </c>
      <c r="AK58" s="391" t="e">
        <f t="shared" si="112"/>
        <v>#DIV/0!</v>
      </c>
      <c r="AL58" s="391" t="e">
        <f t="shared" si="112"/>
        <v>#DIV/0!</v>
      </c>
      <c r="AM58" s="391" t="e">
        <f t="shared" si="112"/>
        <v>#DIV/0!</v>
      </c>
      <c r="AN58" s="391" t="e">
        <f t="shared" si="112"/>
        <v>#DIV/0!</v>
      </c>
      <c r="AO58" s="391" t="e">
        <f t="shared" si="112"/>
        <v>#DIV/0!</v>
      </c>
      <c r="AP58" s="391" t="e">
        <f t="shared" si="112"/>
        <v>#DIV/0!</v>
      </c>
      <c r="AQ58" s="391" t="e">
        <f t="shared" si="112"/>
        <v>#DIV/0!</v>
      </c>
      <c r="AR58" s="391">
        <f t="shared" ref="AR58:BJ58" si="113">AR56/AR13</f>
        <v>1.4363048616241751</v>
      </c>
      <c r="AS58" s="391">
        <f t="shared" si="113"/>
        <v>1.4694241835958206</v>
      </c>
      <c r="AT58" s="391">
        <f t="shared" si="113"/>
        <v>1.5499829725066296</v>
      </c>
      <c r="AU58" s="391">
        <f t="shared" si="113"/>
        <v>1.5467640462216519</v>
      </c>
      <c r="AV58" s="391">
        <f t="shared" si="113"/>
        <v>1.5608499240759075</v>
      </c>
      <c r="AW58" s="391">
        <f t="shared" si="113"/>
        <v>2.0544139019851646</v>
      </c>
      <c r="AX58" s="391">
        <f t="shared" si="113"/>
        <v>1.9614973706197711</v>
      </c>
      <c r="AY58" s="391">
        <f t="shared" si="113"/>
        <v>1.6243939855203766</v>
      </c>
      <c r="AZ58" s="391">
        <f t="shared" si="113"/>
        <v>2.1793999768625452</v>
      </c>
      <c r="BA58" s="391">
        <f t="shared" si="113"/>
        <v>2.1810994148973673</v>
      </c>
      <c r="BB58" s="391">
        <f t="shared" si="113"/>
        <v>2.1265221717958913</v>
      </c>
      <c r="BC58" s="391">
        <f t="shared" si="113"/>
        <v>2.4485118966108779</v>
      </c>
      <c r="BD58" s="391">
        <f t="shared" si="113"/>
        <v>2.3676061688126446</v>
      </c>
      <c r="BE58" s="391">
        <f t="shared" si="113"/>
        <v>2.1797483124026549</v>
      </c>
      <c r="BF58" s="391">
        <f t="shared" si="113"/>
        <v>2.830988865111276</v>
      </c>
      <c r="BG58" s="392">
        <f t="shared" si="113"/>
        <v>2.5074856471361784</v>
      </c>
      <c r="BH58" s="391">
        <f t="shared" si="113"/>
        <v>2.288900341922508</v>
      </c>
      <c r="BI58" s="391">
        <f t="shared" si="113"/>
        <v>0.68202202049810512</v>
      </c>
      <c r="BJ58" s="391">
        <f t="shared" si="113"/>
        <v>2.2590073910656421</v>
      </c>
      <c r="BK58" s="391">
        <f>BK56/BK13</f>
        <v>1.8982878217428456</v>
      </c>
      <c r="BL58" s="391">
        <f>BL56/BL13</f>
        <v>2.6971148594076353</v>
      </c>
      <c r="BM58" s="391">
        <f t="shared" ref="BM58:CI58" si="114">BM56/BM13</f>
        <v>2.6117633206022268</v>
      </c>
      <c r="BN58" s="391">
        <f t="shared" ref="BN58:BO58" si="115">BN56/BN13</f>
        <v>2.8416666581547503</v>
      </c>
      <c r="BO58" s="391">
        <f t="shared" si="115"/>
        <v>2.5174246738922026</v>
      </c>
      <c r="BP58" s="391">
        <f t="shared" si="114"/>
        <v>3.3210848807119189</v>
      </c>
      <c r="BQ58" s="391">
        <f t="shared" si="114"/>
        <v>2.9886017089252106</v>
      </c>
      <c r="BR58" s="391">
        <f t="shared" ref="BR58:BS58" si="116">BR56/BR13</f>
        <v>2.9202466374280052</v>
      </c>
      <c r="BS58" s="391">
        <f t="shared" si="116"/>
        <v>2.902100134837974</v>
      </c>
      <c r="BT58" s="390">
        <f t="shared" ca="1" si="114"/>
        <v>3.0229633792691963</v>
      </c>
      <c r="BU58" s="390">
        <f t="shared" ca="1" si="114"/>
        <v>3.1240860485284139</v>
      </c>
      <c r="BV58" s="390">
        <f t="shared" ca="1" si="114"/>
        <v>3.3339436013338877</v>
      </c>
      <c r="BW58" s="390">
        <f t="shared" ca="1" si="114"/>
        <v>3.4299588218276909</v>
      </c>
      <c r="BX58" s="390">
        <f t="shared" ca="1" si="114"/>
        <v>3.6818042508168718</v>
      </c>
      <c r="BY58" s="390">
        <f t="shared" ca="1" si="114"/>
        <v>3.7991059700456828</v>
      </c>
      <c r="BZ58" s="390">
        <f t="shared" ca="1" si="114"/>
        <v>3.880079195238741</v>
      </c>
      <c r="CA58" s="390">
        <f t="shared" ca="1" si="114"/>
        <v>3.9461556066639289</v>
      </c>
      <c r="CB58" s="390">
        <f t="shared" ca="1" si="114"/>
        <v>4.2605448476599239</v>
      </c>
      <c r="CC58" s="390">
        <f t="shared" ca="1" si="114"/>
        <v>4.4833634990675781</v>
      </c>
      <c r="CD58" s="390">
        <f t="shared" ca="1" si="114"/>
        <v>4.6463142644800586</v>
      </c>
      <c r="CE58" s="390">
        <f t="shared" ca="1" si="114"/>
        <v>4.7788897577630074</v>
      </c>
      <c r="CF58" s="390">
        <f t="shared" ca="1" si="114"/>
        <v>5.0696961887321734</v>
      </c>
      <c r="CG58" s="390">
        <f t="shared" ca="1" si="114"/>
        <v>5.178755445963267</v>
      </c>
      <c r="CH58" s="390">
        <f t="shared" ca="1" si="114"/>
        <v>5.2969413391786198</v>
      </c>
      <c r="CI58" s="390">
        <f t="shared" ca="1" si="114"/>
        <v>5.3557589741306062</v>
      </c>
      <c r="CJ58" s="390">
        <f t="shared" ref="CJ58:CM58" ca="1" si="117">CJ56/CJ13</f>
        <v>5.7858055577279082</v>
      </c>
      <c r="CK58" s="390">
        <f t="shared" ca="1" si="117"/>
        <v>6.0081179347788698</v>
      </c>
      <c r="CL58" s="390">
        <f t="shared" ca="1" si="117"/>
        <v>6.1944292248279051</v>
      </c>
      <c r="CM58" s="390">
        <f t="shared" ca="1" si="117"/>
        <v>6.2720518926596132</v>
      </c>
      <c r="CN58" s="390">
        <f t="shared" ref="CN58:CQ58" ca="1" si="118">CN56/CN13</f>
        <v>6.7475405330053242</v>
      </c>
      <c r="CO58" s="390">
        <f t="shared" ca="1" si="118"/>
        <v>6.9918944807089867</v>
      </c>
      <c r="CP58" s="390">
        <f t="shared" ca="1" si="118"/>
        <v>7.1710947370711615</v>
      </c>
      <c r="CQ58" s="390">
        <f t="shared" ca="1" si="118"/>
        <v>7.2786802374041715</v>
      </c>
    </row>
    <row r="59" spans="1:95" s="325" customFormat="1" ht="11.25" customHeight="1">
      <c r="A59" s="336" t="s">
        <v>350</v>
      </c>
      <c r="B59" s="334"/>
      <c r="C59" s="334"/>
      <c r="D59" s="334" t="e">
        <f t="shared" ref="D59:U59" si="119">+D58/C58-1</f>
        <v>#DIV/0!</v>
      </c>
      <c r="E59" s="334" t="e">
        <f t="shared" si="119"/>
        <v>#DIV/0!</v>
      </c>
      <c r="F59" s="334" t="e">
        <f t="shared" si="119"/>
        <v>#DIV/0!</v>
      </c>
      <c r="G59" s="334" t="e">
        <f t="shared" si="119"/>
        <v>#DIV/0!</v>
      </c>
      <c r="H59" s="334" t="e">
        <f t="shared" si="119"/>
        <v>#DIV/0!</v>
      </c>
      <c r="I59" s="334" t="e">
        <f t="shared" si="119"/>
        <v>#DIV/0!</v>
      </c>
      <c r="J59" s="334">
        <f t="shared" si="119"/>
        <v>0.19770209571069142</v>
      </c>
      <c r="K59" s="334">
        <f t="shared" si="119"/>
        <v>0.24084722993503149</v>
      </c>
      <c r="L59" s="334">
        <f t="shared" si="119"/>
        <v>0.10635017344318087</v>
      </c>
      <c r="M59" s="334">
        <f t="shared" si="119"/>
        <v>-0.27894589518564306</v>
      </c>
      <c r="N59" s="334">
        <f t="shared" si="119"/>
        <v>0.49658303769072965</v>
      </c>
      <c r="O59" s="334">
        <f t="shared" si="119"/>
        <v>0.1372392232834585</v>
      </c>
      <c r="P59" s="333">
        <f t="shared" ca="1" si="119"/>
        <v>6.4203457559062649E-2</v>
      </c>
      <c r="Q59" s="333">
        <f t="shared" ca="1" si="119"/>
        <v>0.18559384307734184</v>
      </c>
      <c r="R59" s="333">
        <f t="shared" ca="1" si="119"/>
        <v>0.18696937553991555</v>
      </c>
      <c r="S59" s="333">
        <f t="shared" ca="1" si="119"/>
        <v>0.15036725644891225</v>
      </c>
      <c r="T59" s="333">
        <f t="shared" ca="1" si="119"/>
        <v>0.16072093396317899</v>
      </c>
      <c r="U59" s="333">
        <f t="shared" ca="1" si="119"/>
        <v>0.16194311023884733</v>
      </c>
      <c r="V59" s="323"/>
      <c r="W59" s="336" t="s">
        <v>350</v>
      </c>
      <c r="X59" s="334">
        <v>0</v>
      </c>
      <c r="Y59" s="334" t="e">
        <f t="shared" ref="Y59:BD59" si="120">+Y58/X58-1</f>
        <v>#DIV/0!</v>
      </c>
      <c r="Z59" s="334" t="e">
        <f t="shared" si="120"/>
        <v>#DIV/0!</v>
      </c>
      <c r="AA59" s="334" t="e">
        <f t="shared" si="120"/>
        <v>#DIV/0!</v>
      </c>
      <c r="AB59" s="334" t="e">
        <f t="shared" si="120"/>
        <v>#DIV/0!</v>
      </c>
      <c r="AC59" s="334" t="e">
        <f t="shared" si="120"/>
        <v>#DIV/0!</v>
      </c>
      <c r="AD59" s="334" t="e">
        <f t="shared" si="120"/>
        <v>#DIV/0!</v>
      </c>
      <c r="AE59" s="334" t="e">
        <f t="shared" si="120"/>
        <v>#DIV/0!</v>
      </c>
      <c r="AF59" s="334" t="e">
        <f t="shared" si="120"/>
        <v>#DIV/0!</v>
      </c>
      <c r="AG59" s="334" t="e">
        <f t="shared" si="120"/>
        <v>#DIV/0!</v>
      </c>
      <c r="AH59" s="334" t="e">
        <f t="shared" si="120"/>
        <v>#DIV/0!</v>
      </c>
      <c r="AI59" s="334" t="e">
        <f t="shared" si="120"/>
        <v>#DIV/0!</v>
      </c>
      <c r="AJ59" s="334" t="e">
        <f t="shared" si="120"/>
        <v>#DIV/0!</v>
      </c>
      <c r="AK59" s="334" t="e">
        <f t="shared" si="120"/>
        <v>#DIV/0!</v>
      </c>
      <c r="AL59" s="334" t="e">
        <f t="shared" si="120"/>
        <v>#DIV/0!</v>
      </c>
      <c r="AM59" s="334" t="e">
        <f t="shared" si="120"/>
        <v>#DIV/0!</v>
      </c>
      <c r="AN59" s="334" t="e">
        <f t="shared" si="120"/>
        <v>#DIV/0!</v>
      </c>
      <c r="AO59" s="334" t="e">
        <f t="shared" si="120"/>
        <v>#DIV/0!</v>
      </c>
      <c r="AP59" s="334" t="e">
        <f t="shared" si="120"/>
        <v>#DIV/0!</v>
      </c>
      <c r="AQ59" s="334" t="e">
        <f t="shared" si="120"/>
        <v>#DIV/0!</v>
      </c>
      <c r="AR59" s="334" t="e">
        <f t="shared" si="120"/>
        <v>#DIV/0!</v>
      </c>
      <c r="AS59" s="334">
        <f t="shared" si="120"/>
        <v>2.3058699344785438E-2</v>
      </c>
      <c r="AT59" s="334">
        <f t="shared" si="120"/>
        <v>5.4823372182206898E-2</v>
      </c>
      <c r="AU59" s="334">
        <f t="shared" si="120"/>
        <v>-2.0767494495582683E-3</v>
      </c>
      <c r="AV59" s="334">
        <f t="shared" si="120"/>
        <v>9.1066752480211122E-3</v>
      </c>
      <c r="AW59" s="334">
        <f t="shared" si="120"/>
        <v>0.3162148841449115</v>
      </c>
      <c r="AX59" s="334">
        <f t="shared" si="120"/>
        <v>-4.522775633264986E-2</v>
      </c>
      <c r="AY59" s="334">
        <f t="shared" si="120"/>
        <v>-0.17186022787931676</v>
      </c>
      <c r="AZ59" s="334">
        <f t="shared" si="120"/>
        <v>0.34166956802931758</v>
      </c>
      <c r="BA59" s="334">
        <f t="shared" si="120"/>
        <v>7.7977335636592038E-4</v>
      </c>
      <c r="BB59" s="334">
        <f t="shared" si="120"/>
        <v>-2.5022813141254319E-2</v>
      </c>
      <c r="BC59" s="334">
        <f t="shared" si="120"/>
        <v>0.15141611457691018</v>
      </c>
      <c r="BD59" s="334">
        <f t="shared" si="120"/>
        <v>-3.3042815887568078E-2</v>
      </c>
      <c r="BE59" s="334">
        <f t="shared" ref="BE59:CI59" si="121">+BE58/BD58-1</f>
        <v>-7.9345061220296054E-2</v>
      </c>
      <c r="BF59" s="334">
        <f t="shared" si="121"/>
        <v>0.29876869223987756</v>
      </c>
      <c r="BG59" s="335">
        <f t="shared" si="121"/>
        <v>-0.1142721619155439</v>
      </c>
      <c r="BH59" s="334">
        <f t="shared" si="121"/>
        <v>-8.7173103249192474E-2</v>
      </c>
      <c r="BI59" s="334">
        <f t="shared" si="121"/>
        <v>-0.70203070531010681</v>
      </c>
      <c r="BJ59" s="334">
        <f t="shared" si="121"/>
        <v>2.312220607504444</v>
      </c>
      <c r="BK59" s="334">
        <f t="shared" si="121"/>
        <v>-0.15968056180313517</v>
      </c>
      <c r="BL59" s="334">
        <f t="shared" si="121"/>
        <v>0.42081449847335328</v>
      </c>
      <c r="BM59" s="334">
        <f t="shared" si="121"/>
        <v>-3.164549648588344E-2</v>
      </c>
      <c r="BN59" s="334">
        <f t="shared" si="121"/>
        <v>8.8026099355554166E-2</v>
      </c>
      <c r="BO59" s="334">
        <f t="shared" si="121"/>
        <v>-0.11410275140191695</v>
      </c>
      <c r="BP59" s="334">
        <f t="shared" si="121"/>
        <v>0.31923902834287121</v>
      </c>
      <c r="BQ59" s="334">
        <f t="shared" si="121"/>
        <v>-0.10011281967458663</v>
      </c>
      <c r="BR59" s="334">
        <f t="shared" si="121"/>
        <v>-2.2871924115237086E-2</v>
      </c>
      <c r="BS59" s="334">
        <f t="shared" si="121"/>
        <v>-6.2140308141964695E-3</v>
      </c>
      <c r="BT59" s="333">
        <f t="shared" ca="1" si="121"/>
        <v>4.1646820859256861E-2</v>
      </c>
      <c r="BU59" s="333">
        <f t="shared" ca="1" si="121"/>
        <v>3.3451503234440016E-2</v>
      </c>
      <c r="BV59" s="333">
        <f t="shared" ca="1" si="121"/>
        <v>6.7174062924523659E-2</v>
      </c>
      <c r="BW59" s="333">
        <f t="shared" ca="1" si="121"/>
        <v>2.8799293561951211E-2</v>
      </c>
      <c r="BX59" s="333">
        <f t="shared" ca="1" si="121"/>
        <v>7.3425204811929046E-2</v>
      </c>
      <c r="BY59" s="333">
        <f t="shared" ca="1" si="121"/>
        <v>3.1859846759312527E-2</v>
      </c>
      <c r="BZ59" s="333">
        <f t="shared" ca="1" si="121"/>
        <v>2.1313757981877179E-2</v>
      </c>
      <c r="CA59" s="333">
        <f t="shared" ca="1" si="121"/>
        <v>1.7029655349888317E-2</v>
      </c>
      <c r="CB59" s="333">
        <f t="shared" ca="1" si="121"/>
        <v>7.9669752623307888E-2</v>
      </c>
      <c r="CC59" s="333">
        <f t="shared" ca="1" si="121"/>
        <v>5.2298158891587843E-2</v>
      </c>
      <c r="CD59" s="333">
        <f t="shared" ca="1" si="121"/>
        <v>3.6345651082355879E-2</v>
      </c>
      <c r="CE59" s="333">
        <f t="shared" ca="1" si="121"/>
        <v>2.8533475295990263E-2</v>
      </c>
      <c r="CF59" s="333">
        <f t="shared" ca="1" si="121"/>
        <v>6.0852299531866993E-2</v>
      </c>
      <c r="CG59" s="333">
        <f t="shared" ca="1" si="121"/>
        <v>2.1511990693542371E-2</v>
      </c>
      <c r="CH59" s="333">
        <f t="shared" ca="1" si="121"/>
        <v>2.2821292576670427E-2</v>
      </c>
      <c r="CI59" s="333">
        <f t="shared" ca="1" si="121"/>
        <v>1.1104075198444141E-2</v>
      </c>
      <c r="CJ59" s="333">
        <f t="shared" ref="CJ59" ca="1" si="122">+CJ58/CI58-1</f>
        <v>8.029610474902138E-2</v>
      </c>
      <c r="CK59" s="333">
        <f t="shared" ref="CK59" ca="1" si="123">+CK58/CJ58-1</f>
        <v>3.8423755315113661E-2</v>
      </c>
      <c r="CL59" s="333">
        <f t="shared" ref="CL59" ca="1" si="124">+CL58/CK58-1</f>
        <v>3.1009925582609732E-2</v>
      </c>
      <c r="CM59" s="333">
        <f t="shared" ref="CM59" ca="1" si="125">+CM58/CL58-1</f>
        <v>1.2531044429499483E-2</v>
      </c>
      <c r="CN59" s="333">
        <f t="shared" ref="CN59" ca="1" si="126">+CN58/CM58-1</f>
        <v>7.581069935058915E-2</v>
      </c>
      <c r="CO59" s="333">
        <f t="shared" ref="CO59" ca="1" si="127">+CO58/CN58-1</f>
        <v>3.6213779896306697E-2</v>
      </c>
      <c r="CP59" s="333">
        <f t="shared" ref="CP59" ca="1" si="128">+CP58/CO58-1</f>
        <v>2.5629714072001208E-2</v>
      </c>
      <c r="CQ59" s="333">
        <f t="shared" ref="CQ59" ca="1" si="129">+CQ58/CP58-1</f>
        <v>1.5002660580795801E-2</v>
      </c>
    </row>
    <row r="60" spans="1:95" s="325" customFormat="1" ht="11.25" customHeight="1">
      <c r="A60" s="329" t="s">
        <v>275</v>
      </c>
      <c r="B60" s="391"/>
      <c r="C60" s="391" t="e">
        <f t="shared" ref="C60:H60" si="130">C111/C65*1000</f>
        <v>#DIV/0!</v>
      </c>
      <c r="D60" s="391" t="e">
        <f t="shared" si="130"/>
        <v>#DIV/0!</v>
      </c>
      <c r="E60" s="391" t="e">
        <f t="shared" si="130"/>
        <v>#DIV/0!</v>
      </c>
      <c r="F60" s="391" t="e">
        <f t="shared" si="130"/>
        <v>#DIV/0!</v>
      </c>
      <c r="G60" s="391" t="e">
        <f t="shared" si="130"/>
        <v>#DIV/0!</v>
      </c>
      <c r="H60" s="391" t="e">
        <f t="shared" si="130"/>
        <v>#DIV/0!</v>
      </c>
      <c r="I60" s="391">
        <f t="shared" ref="I60:S60" si="131">I111/I65/I12*1000</f>
        <v>28.979257585126021</v>
      </c>
      <c r="J60" s="391">
        <f t="shared" si="131"/>
        <v>35.260721539009154</v>
      </c>
      <c r="K60" s="391">
        <f t="shared" si="131"/>
        <v>42.315899322126967</v>
      </c>
      <c r="L60" s="391">
        <f t="shared" si="131"/>
        <v>52.266616191371703</v>
      </c>
      <c r="M60" s="391">
        <f t="shared" si="131"/>
        <v>53.040696902108841</v>
      </c>
      <c r="N60" s="391">
        <f t="shared" si="131"/>
        <v>58.824968781154674</v>
      </c>
      <c r="O60" s="391">
        <f t="shared" si="131"/>
        <v>59.228707651954103</v>
      </c>
      <c r="P60" s="390">
        <f t="shared" ca="1" si="131"/>
        <v>69.249768500869791</v>
      </c>
      <c r="Q60" s="390">
        <f t="shared" ca="1" si="131"/>
        <v>81.329507317192338</v>
      </c>
      <c r="R60" s="390">
        <f t="shared" ca="1" si="131"/>
        <v>95.671833430471594</v>
      </c>
      <c r="S60" s="390">
        <f t="shared" ca="1" si="131"/>
        <v>112.03070728623361</v>
      </c>
      <c r="T60" s="390">
        <f t="shared" ref="T60:U60" ca="1" si="132">T111/T65/T12*1000</f>
        <v>131.06582390922674</v>
      </c>
      <c r="U60" s="390">
        <f t="shared" ca="1" si="132"/>
        <v>153.18993274491783</v>
      </c>
      <c r="V60" s="323"/>
      <c r="W60" s="329" t="s">
        <v>354</v>
      </c>
      <c r="X60" s="391" t="e">
        <f t="shared" ref="X60:AQ60" si="133">X111/X65*1000</f>
        <v>#DIV/0!</v>
      </c>
      <c r="Y60" s="391" t="e">
        <f t="shared" si="133"/>
        <v>#DIV/0!</v>
      </c>
      <c r="Z60" s="391" t="e">
        <f t="shared" si="133"/>
        <v>#DIV/0!</v>
      </c>
      <c r="AA60" s="391" t="e">
        <f t="shared" si="133"/>
        <v>#DIV/0!</v>
      </c>
      <c r="AB60" s="391" t="e">
        <f t="shared" si="133"/>
        <v>#DIV/0!</v>
      </c>
      <c r="AC60" s="391" t="e">
        <f t="shared" si="133"/>
        <v>#DIV/0!</v>
      </c>
      <c r="AD60" s="391" t="e">
        <f t="shared" si="133"/>
        <v>#DIV/0!</v>
      </c>
      <c r="AE60" s="391" t="e">
        <f t="shared" si="133"/>
        <v>#DIV/0!</v>
      </c>
      <c r="AF60" s="391" t="e">
        <f t="shared" si="133"/>
        <v>#DIV/0!</v>
      </c>
      <c r="AG60" s="391" t="e">
        <f t="shared" si="133"/>
        <v>#DIV/0!</v>
      </c>
      <c r="AH60" s="391" t="e">
        <f t="shared" si="133"/>
        <v>#DIV/0!</v>
      </c>
      <c r="AI60" s="391" t="e">
        <f t="shared" si="133"/>
        <v>#DIV/0!</v>
      </c>
      <c r="AJ60" s="391" t="e">
        <f t="shared" si="133"/>
        <v>#DIV/0!</v>
      </c>
      <c r="AK60" s="391" t="e">
        <f t="shared" si="133"/>
        <v>#DIV/0!</v>
      </c>
      <c r="AL60" s="391" t="e">
        <f t="shared" si="133"/>
        <v>#DIV/0!</v>
      </c>
      <c r="AM60" s="391" t="e">
        <f t="shared" si="133"/>
        <v>#DIV/0!</v>
      </c>
      <c r="AN60" s="391" t="e">
        <f t="shared" si="133"/>
        <v>#DIV/0!</v>
      </c>
      <c r="AO60" s="391" t="e">
        <f t="shared" si="133"/>
        <v>#DIV/0!</v>
      </c>
      <c r="AP60" s="391" t="e">
        <f t="shared" si="133"/>
        <v>#DIV/0!</v>
      </c>
      <c r="AQ60" s="391" t="e">
        <f t="shared" si="133"/>
        <v>#DIV/0!</v>
      </c>
      <c r="AR60" s="391">
        <f t="shared" ref="AR60:BJ60" si="134">AR111/AR65/AR12*1000</f>
        <v>21.966738521982251</v>
      </c>
      <c r="AS60" s="391">
        <f t="shared" si="134"/>
        <v>25.273363404175623</v>
      </c>
      <c r="AT60" s="391">
        <f t="shared" si="134"/>
        <v>26.660172915396927</v>
      </c>
      <c r="AU60" s="391">
        <f t="shared" si="134"/>
        <v>29.463690010004953</v>
      </c>
      <c r="AV60" s="391">
        <f t="shared" si="134"/>
        <v>28.789639793776431</v>
      </c>
      <c r="AW60" s="391">
        <f t="shared" si="134"/>
        <v>30.926155240572204</v>
      </c>
      <c r="AX60" s="391">
        <f t="shared" si="134"/>
        <v>33.483311504839193</v>
      </c>
      <c r="AY60" s="391">
        <f t="shared" si="134"/>
        <v>35.298453718291128</v>
      </c>
      <c r="AZ60" s="391">
        <f t="shared" si="134"/>
        <v>35.118976810122717</v>
      </c>
      <c r="BA60" s="391">
        <f t="shared" si="134"/>
        <v>37.185905006519562</v>
      </c>
      <c r="BB60" s="391">
        <f t="shared" si="134"/>
        <v>38.7830502889082</v>
      </c>
      <c r="BC60" s="391">
        <f t="shared" si="134"/>
        <v>42.315899322126967</v>
      </c>
      <c r="BD60" s="391">
        <f t="shared" si="134"/>
        <v>43.795108000490202</v>
      </c>
      <c r="BE60" s="391">
        <f t="shared" si="134"/>
        <v>46.077402847417268</v>
      </c>
      <c r="BF60" s="391">
        <f t="shared" si="134"/>
        <v>50.256090604208552</v>
      </c>
      <c r="BG60" s="392">
        <f t="shared" si="134"/>
        <v>52.266616191371703</v>
      </c>
      <c r="BH60" s="391">
        <f t="shared" si="134"/>
        <v>51.627354444450482</v>
      </c>
      <c r="BI60" s="391">
        <f t="shared" si="134"/>
        <v>48.727738542095693</v>
      </c>
      <c r="BJ60" s="391">
        <f t="shared" si="134"/>
        <v>51.301750123748278</v>
      </c>
      <c r="BK60" s="391">
        <f>BK111/BK65/BK12*1000</f>
        <v>53.004686995686349</v>
      </c>
      <c r="BL60" s="391">
        <f>BL111/BL65/BL12*1000</f>
        <v>53.382106440382209</v>
      </c>
      <c r="BM60" s="391">
        <f t="shared" ref="BM60:CI60" si="135">BM111/BM65/BM12*1000</f>
        <v>57.245569149516285</v>
      </c>
      <c r="BN60" s="391">
        <f t="shared" ref="BN60:BO60" si="136">BN111/BN65/BN12*1000</f>
        <v>58.185779834660352</v>
      </c>
      <c r="BO60" s="391">
        <f t="shared" si="136"/>
        <v>58.824968781154674</v>
      </c>
      <c r="BP60" s="391">
        <f t="shared" si="135"/>
        <v>57.525762334638344</v>
      </c>
      <c r="BQ60" s="391">
        <f t="shared" si="135"/>
        <v>58.374963702240542</v>
      </c>
      <c r="BR60" s="391">
        <f t="shared" ref="BR60:BS60" si="137">BR111/BR65/BR12*1000</f>
        <v>58.757223609965173</v>
      </c>
      <c r="BS60" s="391">
        <f t="shared" si="137"/>
        <v>59.228707651954103</v>
      </c>
      <c r="BT60" s="390">
        <f t="shared" ca="1" si="135"/>
        <v>59.361780029179798</v>
      </c>
      <c r="BU60" s="390">
        <f t="shared" ca="1" si="135"/>
        <v>62.485866077708216</v>
      </c>
      <c r="BV60" s="390">
        <f t="shared" ca="1" si="135"/>
        <v>65.819809679042109</v>
      </c>
      <c r="BW60" s="390">
        <f t="shared" ca="1" si="135"/>
        <v>69.249768500869791</v>
      </c>
      <c r="BX60" s="390">
        <f t="shared" ca="1" si="135"/>
        <v>69.704166545243993</v>
      </c>
      <c r="BY60" s="390">
        <f t="shared" ca="1" si="135"/>
        <v>73.503272515289666</v>
      </c>
      <c r="BZ60" s="390">
        <f t="shared" ca="1" si="135"/>
        <v>77.383351710528402</v>
      </c>
      <c r="CA60" s="390">
        <f t="shared" ca="1" si="135"/>
        <v>81.329507317192338</v>
      </c>
      <c r="CB60" s="390">
        <f t="shared" ca="1" si="135"/>
        <v>81.763265909160936</v>
      </c>
      <c r="CC60" s="390">
        <f t="shared" ca="1" si="135"/>
        <v>86.246629408228529</v>
      </c>
      <c r="CD60" s="390">
        <f t="shared" ca="1" si="135"/>
        <v>90.892943672708583</v>
      </c>
      <c r="CE60" s="390">
        <f t="shared" ca="1" si="135"/>
        <v>95.671833430471594</v>
      </c>
      <c r="CF60" s="390">
        <f t="shared" ca="1" si="135"/>
        <v>96.199251526961106</v>
      </c>
      <c r="CG60" s="390">
        <f t="shared" ca="1" si="135"/>
        <v>101.37800697292438</v>
      </c>
      <c r="CH60" s="390">
        <f t="shared" ca="1" si="135"/>
        <v>106.67494831210303</v>
      </c>
      <c r="CI60" s="390">
        <f t="shared" ca="1" si="135"/>
        <v>112.03070728623361</v>
      </c>
      <c r="CJ60" s="390">
        <f t="shared" ref="CJ60:CM60" ca="1" si="138">CJ111/CJ65/CJ12*1000</f>
        <v>112.59122485696035</v>
      </c>
      <c r="CK60" s="390">
        <f t="shared" ca="1" si="138"/>
        <v>118.59934279173925</v>
      </c>
      <c r="CL60" s="390">
        <f t="shared" ca="1" si="138"/>
        <v>124.79377201656716</v>
      </c>
      <c r="CM60" s="390">
        <f t="shared" ca="1" si="138"/>
        <v>131.06582390922676</v>
      </c>
      <c r="CN60" s="390">
        <f t="shared" ref="CN60:CQ60" ca="1" si="139">CN111/CN65/CN12*1000</f>
        <v>131.7482632897335</v>
      </c>
      <c r="CO60" s="390">
        <f t="shared" ca="1" si="139"/>
        <v>138.74015777044249</v>
      </c>
      <c r="CP60" s="390">
        <f t="shared" ca="1" si="139"/>
        <v>145.91125250751369</v>
      </c>
      <c r="CQ60" s="390">
        <f t="shared" ca="1" si="139"/>
        <v>153.18993274491785</v>
      </c>
    </row>
    <row r="61" spans="1:95" s="325" customFormat="1" ht="11.25" customHeight="1">
      <c r="A61" s="336" t="s">
        <v>350</v>
      </c>
      <c r="B61" s="334"/>
      <c r="C61" s="334"/>
      <c r="D61" s="334" t="e">
        <f t="shared" ref="D61:U61" si="140">+D60/C60-1</f>
        <v>#DIV/0!</v>
      </c>
      <c r="E61" s="334" t="e">
        <f t="shared" si="140"/>
        <v>#DIV/0!</v>
      </c>
      <c r="F61" s="334" t="e">
        <f t="shared" si="140"/>
        <v>#DIV/0!</v>
      </c>
      <c r="G61" s="334" t="e">
        <f t="shared" si="140"/>
        <v>#DIV/0!</v>
      </c>
      <c r="H61" s="334" t="e">
        <f t="shared" si="140"/>
        <v>#DIV/0!</v>
      </c>
      <c r="I61" s="334" t="e">
        <f t="shared" si="140"/>
        <v>#DIV/0!</v>
      </c>
      <c r="J61" s="334">
        <f t="shared" si="140"/>
        <v>0.21675724215609904</v>
      </c>
      <c r="K61" s="334">
        <f t="shared" si="140"/>
        <v>0.20008602987073387</v>
      </c>
      <c r="L61" s="334">
        <f t="shared" si="140"/>
        <v>0.23515314642129104</v>
      </c>
      <c r="M61" s="334">
        <f t="shared" si="140"/>
        <v>1.481023198255027E-2</v>
      </c>
      <c r="N61" s="334">
        <f t="shared" si="140"/>
        <v>0.10905346680721784</v>
      </c>
      <c r="O61" s="334">
        <f t="shared" si="140"/>
        <v>6.8633928613111017E-3</v>
      </c>
      <c r="P61" s="333">
        <f t="shared" ca="1" si="140"/>
        <v>0.1691926305028042</v>
      </c>
      <c r="Q61" s="333">
        <f t="shared" ca="1" si="140"/>
        <v>0.17443724474213695</v>
      </c>
      <c r="R61" s="333">
        <f t="shared" ca="1" si="140"/>
        <v>0.1763483707990865</v>
      </c>
      <c r="S61" s="333">
        <f t="shared" ca="1" si="140"/>
        <v>0.17098944662381355</v>
      </c>
      <c r="T61" s="333">
        <f t="shared" ca="1" si="140"/>
        <v>0.16990981387236292</v>
      </c>
      <c r="U61" s="333">
        <f t="shared" ca="1" si="140"/>
        <v>0.16880150885873757</v>
      </c>
      <c r="V61" s="323"/>
      <c r="W61" s="336" t="s">
        <v>353</v>
      </c>
      <c r="X61" s="334">
        <v>0</v>
      </c>
      <c r="Y61" s="334" t="e">
        <f t="shared" ref="Y61:BD61" si="141">+Y60/X60-1</f>
        <v>#DIV/0!</v>
      </c>
      <c r="Z61" s="334" t="e">
        <f t="shared" si="141"/>
        <v>#DIV/0!</v>
      </c>
      <c r="AA61" s="334" t="e">
        <f t="shared" si="141"/>
        <v>#DIV/0!</v>
      </c>
      <c r="AB61" s="334" t="e">
        <f t="shared" si="141"/>
        <v>#DIV/0!</v>
      </c>
      <c r="AC61" s="334" t="e">
        <f t="shared" si="141"/>
        <v>#DIV/0!</v>
      </c>
      <c r="AD61" s="334" t="e">
        <f t="shared" si="141"/>
        <v>#DIV/0!</v>
      </c>
      <c r="AE61" s="334" t="e">
        <f t="shared" si="141"/>
        <v>#DIV/0!</v>
      </c>
      <c r="AF61" s="334" t="e">
        <f t="shared" si="141"/>
        <v>#DIV/0!</v>
      </c>
      <c r="AG61" s="334" t="e">
        <f t="shared" si="141"/>
        <v>#DIV/0!</v>
      </c>
      <c r="AH61" s="334" t="e">
        <f t="shared" si="141"/>
        <v>#DIV/0!</v>
      </c>
      <c r="AI61" s="334" t="e">
        <f t="shared" si="141"/>
        <v>#DIV/0!</v>
      </c>
      <c r="AJ61" s="334" t="e">
        <f t="shared" si="141"/>
        <v>#DIV/0!</v>
      </c>
      <c r="AK61" s="334" t="e">
        <f t="shared" si="141"/>
        <v>#DIV/0!</v>
      </c>
      <c r="AL61" s="334" t="e">
        <f t="shared" si="141"/>
        <v>#DIV/0!</v>
      </c>
      <c r="AM61" s="334" t="e">
        <f t="shared" si="141"/>
        <v>#DIV/0!</v>
      </c>
      <c r="AN61" s="334" t="e">
        <f t="shared" si="141"/>
        <v>#DIV/0!</v>
      </c>
      <c r="AO61" s="334" t="e">
        <f t="shared" si="141"/>
        <v>#DIV/0!</v>
      </c>
      <c r="AP61" s="334" t="e">
        <f t="shared" si="141"/>
        <v>#DIV/0!</v>
      </c>
      <c r="AQ61" s="334" t="e">
        <f t="shared" si="141"/>
        <v>#DIV/0!</v>
      </c>
      <c r="AR61" s="334" t="e">
        <f t="shared" si="141"/>
        <v>#DIV/0!</v>
      </c>
      <c r="AS61" s="334">
        <f t="shared" si="141"/>
        <v>0.15052871316715555</v>
      </c>
      <c r="AT61" s="334">
        <f t="shared" si="141"/>
        <v>5.4872376463837691E-2</v>
      </c>
      <c r="AU61" s="334">
        <f t="shared" si="141"/>
        <v>0.10515749854679002</v>
      </c>
      <c r="AV61" s="334">
        <f t="shared" si="141"/>
        <v>-2.2877318353527243E-2</v>
      </c>
      <c r="AW61" s="334">
        <f t="shared" si="141"/>
        <v>7.4211260095641496E-2</v>
      </c>
      <c r="AX61" s="334">
        <f t="shared" si="141"/>
        <v>8.2685876869435182E-2</v>
      </c>
      <c r="AY61" s="334">
        <f t="shared" si="141"/>
        <v>5.4210355304600055E-2</v>
      </c>
      <c r="AZ61" s="334">
        <f t="shared" si="141"/>
        <v>-5.0845544000531762E-3</v>
      </c>
      <c r="BA61" s="334">
        <f t="shared" si="141"/>
        <v>5.8855023242051718E-2</v>
      </c>
      <c r="BB61" s="334">
        <f t="shared" si="141"/>
        <v>4.2950286731185505E-2</v>
      </c>
      <c r="BC61" s="334">
        <f t="shared" si="141"/>
        <v>9.1092603776685044E-2</v>
      </c>
      <c r="BD61" s="334">
        <f t="shared" si="141"/>
        <v>3.4956333247294635E-2</v>
      </c>
      <c r="BE61" s="334">
        <f t="shared" ref="BE61:CI61" si="142">+BE60/BD60-1</f>
        <v>5.2113008761195845E-2</v>
      </c>
      <c r="BF61" s="334">
        <f t="shared" si="142"/>
        <v>9.0688439420701927E-2</v>
      </c>
      <c r="BG61" s="335">
        <f t="shared" si="142"/>
        <v>4.0005610523847324E-2</v>
      </c>
      <c r="BH61" s="334">
        <f t="shared" si="142"/>
        <v>-1.2230785030746927E-2</v>
      </c>
      <c r="BI61" s="334">
        <f t="shared" si="142"/>
        <v>-5.6164332524043847E-2</v>
      </c>
      <c r="BJ61" s="334">
        <f t="shared" si="142"/>
        <v>5.2824359567372525E-2</v>
      </c>
      <c r="BK61" s="334">
        <f t="shared" si="142"/>
        <v>3.3194518078434099E-2</v>
      </c>
      <c r="BL61" s="334">
        <f t="shared" si="142"/>
        <v>7.1204919053022842E-3</v>
      </c>
      <c r="BM61" s="334">
        <f t="shared" si="142"/>
        <v>7.2373740317813073E-2</v>
      </c>
      <c r="BN61" s="334">
        <f t="shared" si="142"/>
        <v>1.6424165208112296E-2</v>
      </c>
      <c r="BO61" s="334">
        <f t="shared" si="142"/>
        <v>1.0985312017998794E-2</v>
      </c>
      <c r="BP61" s="334">
        <f t="shared" si="142"/>
        <v>-2.2085969163022301E-2</v>
      </c>
      <c r="BQ61" s="334">
        <f t="shared" si="142"/>
        <v>1.4762105413957505E-2</v>
      </c>
      <c r="BR61" s="334">
        <f t="shared" si="142"/>
        <v>6.5483536687829247E-3</v>
      </c>
      <c r="BS61" s="334">
        <f t="shared" si="142"/>
        <v>8.0242736640974144E-3</v>
      </c>
      <c r="BT61" s="333">
        <f t="shared" ca="1" si="142"/>
        <v>2.2467546988813591E-3</v>
      </c>
      <c r="BU61" s="333">
        <f t="shared" ca="1" si="142"/>
        <v>5.2627903795889219E-2</v>
      </c>
      <c r="BV61" s="333">
        <f t="shared" ca="1" si="142"/>
        <v>5.3355163505099723E-2</v>
      </c>
      <c r="BW61" s="333">
        <f t="shared" ca="1" si="142"/>
        <v>5.2111345179410629E-2</v>
      </c>
      <c r="BX61" s="333">
        <f t="shared" ca="1" si="142"/>
        <v>6.5617265474107178E-3</v>
      </c>
      <c r="BY61" s="333">
        <f t="shared" ca="1" si="142"/>
        <v>5.4503283782608936E-2</v>
      </c>
      <c r="BZ61" s="333">
        <f t="shared" ca="1" si="142"/>
        <v>5.2787842805660512E-2</v>
      </c>
      <c r="CA61" s="333">
        <f t="shared" ca="1" si="142"/>
        <v>5.0994891270999876E-2</v>
      </c>
      <c r="CB61" s="333">
        <f t="shared" ca="1" si="142"/>
        <v>5.33334832924659E-3</v>
      </c>
      <c r="CC61" s="333">
        <f t="shared" ca="1" si="142"/>
        <v>5.483346890825791E-2</v>
      </c>
      <c r="CD61" s="333">
        <f t="shared" ca="1" si="142"/>
        <v>5.3872415610444202E-2</v>
      </c>
      <c r="CE61" s="333">
        <f t="shared" ca="1" si="142"/>
        <v>5.2577126063504398E-2</v>
      </c>
      <c r="CF61" s="333">
        <f t="shared" ca="1" si="142"/>
        <v>5.5127834136554643E-3</v>
      </c>
      <c r="CG61" s="333">
        <f t="shared" ca="1" si="142"/>
        <v>5.3833635540416536E-2</v>
      </c>
      <c r="CH61" s="333">
        <f t="shared" ca="1" si="142"/>
        <v>5.2249412839545428E-2</v>
      </c>
      <c r="CI61" s="333">
        <f t="shared" ca="1" si="142"/>
        <v>5.0206342340668675E-2</v>
      </c>
      <c r="CJ61" s="333">
        <f t="shared" ref="CJ61" ca="1" si="143">+CJ60/CI60-1</f>
        <v>5.0032494153111617E-3</v>
      </c>
      <c r="CK61" s="333">
        <f t="shared" ref="CK61" ca="1" si="144">+CK60/CJ60-1</f>
        <v>5.3362221988541458E-2</v>
      </c>
      <c r="CL61" s="333">
        <f t="shared" ref="CL61" ca="1" si="145">+CL60/CK60-1</f>
        <v>5.222987816808855E-2</v>
      </c>
      <c r="CM61" s="333">
        <f t="shared" ref="CM61" ca="1" si="146">+CM60/CL60-1</f>
        <v>5.0259334190386973E-2</v>
      </c>
      <c r="CN61" s="333">
        <f t="shared" ref="CN61" ca="1" si="147">+CN60/CM60-1</f>
        <v>5.2068446231976484E-3</v>
      </c>
      <c r="CO61" s="333">
        <f t="shared" ref="CO61" ca="1" si="148">+CO60/CN60-1</f>
        <v>5.3070107386029131E-2</v>
      </c>
      <c r="CP61" s="333">
        <f t="shared" ref="CP61" ca="1" si="149">+CP60/CO60-1</f>
        <v>5.1687232105764203E-2</v>
      </c>
      <c r="CQ61" s="333">
        <f t="shared" ref="CQ61" ca="1" si="150">+CQ60/CP60-1</f>
        <v>4.9884296874425971E-2</v>
      </c>
    </row>
    <row r="62" spans="1:95" s="325" customFormat="1" ht="11.25" customHeight="1">
      <c r="A62" s="329" t="s">
        <v>352</v>
      </c>
      <c r="B62" s="391"/>
      <c r="C62" s="391">
        <f>+SUM(W62:Z62)</f>
        <v>0</v>
      </c>
      <c r="D62" s="391">
        <f>+SUM(X62:AA62)</f>
        <v>0</v>
      </c>
      <c r="E62" s="391">
        <f>+SUM(AB62:AE62)</f>
        <v>0</v>
      </c>
      <c r="F62" s="391">
        <f>+SUM(AF62:AI62)</f>
        <v>0</v>
      </c>
      <c r="G62" s="391">
        <f>+SUM(AJ62:AM62)</f>
        <v>0</v>
      </c>
      <c r="H62" s="391">
        <f>+SUM(AN62:AQ62)</f>
        <v>0</v>
      </c>
      <c r="I62" s="391">
        <f ca="1">+SUM(AR62:AU62)</f>
        <v>1.5000052976203091</v>
      </c>
      <c r="J62" s="391">
        <f>+SUM(AV62:AY62)</f>
        <v>1.7</v>
      </c>
      <c r="K62" s="391">
        <f>+SUM(AZ62:BC62)</f>
        <v>1.95</v>
      </c>
      <c r="L62" s="391">
        <f>+SUM(BD62:BG62)</f>
        <v>2.2999999999999998</v>
      </c>
      <c r="M62" s="391">
        <f>+SUM(BH62:BK62)</f>
        <v>2.5999999999999996</v>
      </c>
      <c r="N62" s="391">
        <f ca="1">+SUM(BL62:BO62)</f>
        <v>1.9</v>
      </c>
      <c r="O62" s="391">
        <f ca="1">+SUM(BP62:BS62)</f>
        <v>2.1873000000000005</v>
      </c>
      <c r="P62" s="390">
        <f ca="1">+SUM(BT62:BW62)</f>
        <v>2.837809101436942</v>
      </c>
      <c r="Q62" s="390">
        <f ca="1">+SUM(BX62:CA62)</f>
        <v>3.2274062064426872</v>
      </c>
      <c r="R62" s="390">
        <f ca="1">+SUM(CB62:CE62)</f>
        <v>3.8267862556913057</v>
      </c>
      <c r="S62" s="390">
        <f ca="1">+SUM(CF62:CI62)</f>
        <v>4.5422780922426425</v>
      </c>
      <c r="T62" s="390">
        <f ca="1">+SUM(CJ62:CM62)</f>
        <v>5.2252879870011668</v>
      </c>
      <c r="U62" s="390">
        <f ca="1">+SUM(CN62:CQ62)</f>
        <v>6.065101152498575</v>
      </c>
      <c r="V62" s="323"/>
      <c r="W62" s="329" t="s">
        <v>351</v>
      </c>
      <c r="X62" s="389">
        <f>'Income Statement'!BE46</f>
        <v>0</v>
      </c>
      <c r="Y62" s="389">
        <f>'Income Statement'!BF46</f>
        <v>0</v>
      </c>
      <c r="Z62" s="389">
        <f>'Income Statement'!BG46</f>
        <v>0</v>
      </c>
      <c r="AA62" s="389">
        <f>'Income Statement'!BH46</f>
        <v>0</v>
      </c>
      <c r="AB62" s="389">
        <f>'Income Statement'!BI46</f>
        <v>0</v>
      </c>
      <c r="AC62" s="328">
        <f>'Income Statement'!BJ46</f>
        <v>0</v>
      </c>
      <c r="AD62" s="328">
        <f>'Income Statement'!BK46</f>
        <v>0</v>
      </c>
      <c r="AE62" s="328">
        <f>'Income Statement'!BL46</f>
        <v>0</v>
      </c>
      <c r="AF62" s="328">
        <f>'Income Statement'!BM46</f>
        <v>0</v>
      </c>
      <c r="AG62" s="328">
        <f>'Income Statement'!BN46</f>
        <v>0</v>
      </c>
      <c r="AH62" s="328">
        <f>'Income Statement'!BO46</f>
        <v>0</v>
      </c>
      <c r="AI62" s="328">
        <f>'Income Statement'!BP46</f>
        <v>0</v>
      </c>
      <c r="AJ62" s="328">
        <f>'Income Statement'!BQ46</f>
        <v>0</v>
      </c>
      <c r="AK62" s="328">
        <f>'Income Statement'!BR46</f>
        <v>0</v>
      </c>
      <c r="AL62" s="328">
        <f>'Income Statement'!BS46</f>
        <v>0</v>
      </c>
      <c r="AM62" s="328">
        <f>'Income Statement'!BT46</f>
        <v>0</v>
      </c>
      <c r="AN62" s="328">
        <f>'Income Statement'!BU46</f>
        <v>0</v>
      </c>
      <c r="AO62" s="328">
        <f>'Income Statement'!BV46</f>
        <v>0</v>
      </c>
      <c r="AP62" s="328">
        <f>'Income Statement'!BW46</f>
        <v>0</v>
      </c>
      <c r="AQ62" s="328">
        <f>'Income Statement'!BX46</f>
        <v>0</v>
      </c>
      <c r="AR62" s="328">
        <f>'Income Statement'!BY46/AR13</f>
        <v>1.5000052976203091</v>
      </c>
      <c r="AS62" s="328">
        <f ca="1">'Income Statement'!BZ46/AS13</f>
        <v>0</v>
      </c>
      <c r="AT62" s="328">
        <f ca="1">'Income Statement'!CA46/AT13</f>
        <v>0</v>
      </c>
      <c r="AU62" s="328">
        <f ca="1">'Income Statement'!CB46/AU13</f>
        <v>0</v>
      </c>
      <c r="AV62" s="328">
        <f>'Income Statement'!CC46/AV13</f>
        <v>1.7</v>
      </c>
      <c r="AW62" s="328">
        <f>'Income Statement'!CD46/AW13</f>
        <v>0</v>
      </c>
      <c r="AX62" s="328">
        <f>'Income Statement'!CE46/AX13</f>
        <v>0</v>
      </c>
      <c r="AY62" s="328">
        <f>'Income Statement'!CF46/AY13</f>
        <v>0</v>
      </c>
      <c r="AZ62" s="328">
        <f>'Income Statement'!CG46/AZ13</f>
        <v>1.95</v>
      </c>
      <c r="BA62" s="328">
        <f>'Income Statement'!CH46/BA13</f>
        <v>0</v>
      </c>
      <c r="BB62" s="328">
        <f>'Income Statement'!CI46/BB13</f>
        <v>0</v>
      </c>
      <c r="BC62" s="328">
        <f>'Income Statement'!CJ46/BC13</f>
        <v>0</v>
      </c>
      <c r="BD62" s="328">
        <f>'Income Statement'!CK46/BD13</f>
        <v>2.2999999999999998</v>
      </c>
      <c r="BE62" s="328">
        <f>'Income Statement'!CL46/BE13</f>
        <v>0</v>
      </c>
      <c r="BF62" s="328">
        <f>'Income Statement'!CM46/BF13</f>
        <v>0</v>
      </c>
      <c r="BG62" s="84">
        <f>'Income Statement'!CN46/BG13</f>
        <v>0</v>
      </c>
      <c r="BH62" s="328">
        <f>'Income Statement'!CO46/BH13</f>
        <v>2.5999999999999996</v>
      </c>
      <c r="BI62" s="328">
        <f>'Income Statement'!CP46/BI13</f>
        <v>0</v>
      </c>
      <c r="BJ62" s="328">
        <f>'Income Statement'!CQ46/BJ13</f>
        <v>0</v>
      </c>
      <c r="BK62" s="328">
        <f>'Income Statement'!CR46/BK13</f>
        <v>0</v>
      </c>
      <c r="BL62" s="328">
        <f>'Income Statement'!CS46/BL13</f>
        <v>1.9</v>
      </c>
      <c r="BM62" s="328">
        <f ca="1">'Income Statement'!CT46/BM13</f>
        <v>0</v>
      </c>
      <c r="BN62" s="328">
        <f ca="1">'Income Statement'!CU46/BN13</f>
        <v>0</v>
      </c>
      <c r="BO62" s="328">
        <f ca="1">'Income Statement'!CV46/BO13</f>
        <v>0</v>
      </c>
      <c r="BP62" s="328">
        <f>'Income Statement'!CW46/BP13</f>
        <v>2.1873000000000005</v>
      </c>
      <c r="BQ62" s="328">
        <f ca="1">'Income Statement'!CX46/BQ13</f>
        <v>0</v>
      </c>
      <c r="BR62" s="328">
        <f ca="1">'Income Statement'!CY46/BR13</f>
        <v>0</v>
      </c>
      <c r="BS62" s="328">
        <f ca="1">'Income Statement'!CZ46/BS13</f>
        <v>0</v>
      </c>
      <c r="BT62" s="83">
        <f ca="1">'Income Statement'!DA46/BT13</f>
        <v>2.837809101436942</v>
      </c>
      <c r="BU62" s="83">
        <f ca="1">'Income Statement'!DB46/BU13</f>
        <v>0</v>
      </c>
      <c r="BV62" s="83">
        <f ca="1">'Income Statement'!DC46/BV13</f>
        <v>0</v>
      </c>
      <c r="BW62" s="83">
        <f ca="1">'Income Statement'!DD46/BW13</f>
        <v>0</v>
      </c>
      <c r="BX62" s="83">
        <f ca="1">'Income Statement'!DE46/BX13</f>
        <v>3.2274062064426872</v>
      </c>
      <c r="BY62" s="83">
        <f ca="1">'Income Statement'!DF46/BY13</f>
        <v>0</v>
      </c>
      <c r="BZ62" s="83">
        <f ca="1">'Income Statement'!DG46/BZ13</f>
        <v>0</v>
      </c>
      <c r="CA62" s="83">
        <f ca="1">'Income Statement'!DH46/CA13</f>
        <v>0</v>
      </c>
      <c r="CB62" s="83">
        <f ca="1">'Income Statement'!DI46/CB13</f>
        <v>3.8267862556913057</v>
      </c>
      <c r="CC62" s="83">
        <f ca="1">'Income Statement'!DJ46/CC13</f>
        <v>0</v>
      </c>
      <c r="CD62" s="83">
        <f ca="1">'Income Statement'!DK46/CD13</f>
        <v>0</v>
      </c>
      <c r="CE62" s="83">
        <f ca="1">'Income Statement'!DL46/CE13</f>
        <v>0</v>
      </c>
      <c r="CF62" s="83">
        <f ca="1">'Income Statement'!DM46/CF13</f>
        <v>4.5422780922426425</v>
      </c>
      <c r="CG62" s="83">
        <f ca="1">'Income Statement'!DN46/CG13</f>
        <v>0</v>
      </c>
      <c r="CH62" s="83">
        <f ca="1">'Income Statement'!DO46/CH13</f>
        <v>0</v>
      </c>
      <c r="CI62" s="83">
        <f ca="1">'Income Statement'!DP46/CI13</f>
        <v>0</v>
      </c>
      <c r="CJ62" s="83">
        <f ca="1">'Income Statement'!DQ46/CJ13</f>
        <v>5.2252879870011668</v>
      </c>
      <c r="CK62" s="83">
        <f ca="1">'Income Statement'!DR46/CK13</f>
        <v>0</v>
      </c>
      <c r="CL62" s="83">
        <f ca="1">'Income Statement'!DS46/CL13</f>
        <v>0</v>
      </c>
      <c r="CM62" s="83">
        <f ca="1">'Income Statement'!DT46/CM13</f>
        <v>0</v>
      </c>
      <c r="CN62" s="83">
        <f ca="1">'Income Statement'!DU46/CN13</f>
        <v>6.065101152498575</v>
      </c>
      <c r="CO62" s="83">
        <f ca="1">'Income Statement'!DV46/CO13</f>
        <v>0</v>
      </c>
      <c r="CP62" s="83">
        <f ca="1">'Income Statement'!DW46/CP13</f>
        <v>0</v>
      </c>
      <c r="CQ62" s="83">
        <f ca="1">'Income Statement'!DX46/CQ13</f>
        <v>0</v>
      </c>
    </row>
    <row r="63" spans="1:95" s="325" customFormat="1" ht="11.25" customHeight="1">
      <c r="A63" s="336" t="s">
        <v>350</v>
      </c>
      <c r="B63" s="334"/>
      <c r="C63" s="334"/>
      <c r="D63" s="334" t="e">
        <f t="shared" ref="D63:U63" si="151">+D62/C62-1</f>
        <v>#DIV/0!</v>
      </c>
      <c r="E63" s="334" t="e">
        <f t="shared" si="151"/>
        <v>#DIV/0!</v>
      </c>
      <c r="F63" s="334" t="e">
        <f t="shared" si="151"/>
        <v>#DIV/0!</v>
      </c>
      <c r="G63" s="334" t="e">
        <f t="shared" si="151"/>
        <v>#DIV/0!</v>
      </c>
      <c r="H63" s="334" t="e">
        <f t="shared" si="151"/>
        <v>#DIV/0!</v>
      </c>
      <c r="I63" s="334" t="e">
        <f t="shared" ca="1" si="151"/>
        <v>#DIV/0!</v>
      </c>
      <c r="J63" s="334">
        <f t="shared" ca="1" si="151"/>
        <v>0.13332933070101372</v>
      </c>
      <c r="K63" s="334">
        <f t="shared" si="151"/>
        <v>0.14705882352941169</v>
      </c>
      <c r="L63" s="334">
        <f t="shared" si="151"/>
        <v>0.17948717948717952</v>
      </c>
      <c r="M63" s="334">
        <f t="shared" si="151"/>
        <v>0.13043478260869557</v>
      </c>
      <c r="N63" s="334">
        <f t="shared" ca="1" si="151"/>
        <v>-0.26923076923076916</v>
      </c>
      <c r="O63" s="334">
        <f t="shared" ca="1" si="151"/>
        <v>0.15121052631578968</v>
      </c>
      <c r="P63" s="333">
        <f t="shared" ca="1" si="151"/>
        <v>0.2974027803396615</v>
      </c>
      <c r="Q63" s="333">
        <f t="shared" ca="1" si="151"/>
        <v>0.1372879891069736</v>
      </c>
      <c r="R63" s="333">
        <f t="shared" ca="1" si="151"/>
        <v>0.18571571438764356</v>
      </c>
      <c r="S63" s="333">
        <f t="shared" ca="1" si="151"/>
        <v>0.18696937553991599</v>
      </c>
      <c r="T63" s="333">
        <f t="shared" ca="1" si="151"/>
        <v>0.15036725644891202</v>
      </c>
      <c r="U63" s="333">
        <f t="shared" ca="1" si="151"/>
        <v>0.16072093396317921</v>
      </c>
      <c r="V63" s="323"/>
      <c r="W63" s="336" t="s">
        <v>349</v>
      </c>
      <c r="X63" s="334">
        <v>0</v>
      </c>
      <c r="Y63" s="334" t="e">
        <f t="shared" ref="Y63:BD63" si="152">+Y62/X62-1</f>
        <v>#DIV/0!</v>
      </c>
      <c r="Z63" s="334" t="e">
        <f t="shared" si="152"/>
        <v>#DIV/0!</v>
      </c>
      <c r="AA63" s="334" t="e">
        <f t="shared" si="152"/>
        <v>#DIV/0!</v>
      </c>
      <c r="AB63" s="334" t="e">
        <f t="shared" si="152"/>
        <v>#DIV/0!</v>
      </c>
      <c r="AC63" s="334" t="e">
        <f t="shared" si="152"/>
        <v>#DIV/0!</v>
      </c>
      <c r="AD63" s="334" t="e">
        <f t="shared" si="152"/>
        <v>#DIV/0!</v>
      </c>
      <c r="AE63" s="334" t="e">
        <f t="shared" si="152"/>
        <v>#DIV/0!</v>
      </c>
      <c r="AF63" s="334" t="e">
        <f t="shared" si="152"/>
        <v>#DIV/0!</v>
      </c>
      <c r="AG63" s="334" t="e">
        <f t="shared" si="152"/>
        <v>#DIV/0!</v>
      </c>
      <c r="AH63" s="334" t="e">
        <f t="shared" si="152"/>
        <v>#DIV/0!</v>
      </c>
      <c r="AI63" s="334" t="e">
        <f t="shared" si="152"/>
        <v>#DIV/0!</v>
      </c>
      <c r="AJ63" s="334" t="e">
        <f t="shared" si="152"/>
        <v>#DIV/0!</v>
      </c>
      <c r="AK63" s="334" t="e">
        <f t="shared" si="152"/>
        <v>#DIV/0!</v>
      </c>
      <c r="AL63" s="334" t="e">
        <f t="shared" si="152"/>
        <v>#DIV/0!</v>
      </c>
      <c r="AM63" s="334" t="e">
        <f t="shared" si="152"/>
        <v>#DIV/0!</v>
      </c>
      <c r="AN63" s="334" t="e">
        <f t="shared" si="152"/>
        <v>#DIV/0!</v>
      </c>
      <c r="AO63" s="334" t="e">
        <f t="shared" si="152"/>
        <v>#DIV/0!</v>
      </c>
      <c r="AP63" s="334" t="e">
        <f t="shared" si="152"/>
        <v>#DIV/0!</v>
      </c>
      <c r="AQ63" s="334" t="e">
        <f t="shared" si="152"/>
        <v>#DIV/0!</v>
      </c>
      <c r="AR63" s="334" t="e">
        <f t="shared" si="152"/>
        <v>#DIV/0!</v>
      </c>
      <c r="AS63" s="334">
        <f t="shared" ca="1" si="152"/>
        <v>-1</v>
      </c>
      <c r="AT63" s="334" t="e">
        <f t="shared" ca="1" si="152"/>
        <v>#DIV/0!</v>
      </c>
      <c r="AU63" s="334" t="e">
        <f t="shared" ca="1" si="152"/>
        <v>#DIV/0!</v>
      </c>
      <c r="AV63" s="334" t="e">
        <f t="shared" ca="1" si="152"/>
        <v>#DIV/0!</v>
      </c>
      <c r="AW63" s="334">
        <f t="shared" si="152"/>
        <v>-1</v>
      </c>
      <c r="AX63" s="334" t="e">
        <f t="shared" si="152"/>
        <v>#DIV/0!</v>
      </c>
      <c r="AY63" s="334" t="e">
        <f t="shared" si="152"/>
        <v>#DIV/0!</v>
      </c>
      <c r="AZ63" s="334" t="e">
        <f t="shared" si="152"/>
        <v>#DIV/0!</v>
      </c>
      <c r="BA63" s="334">
        <f t="shared" si="152"/>
        <v>-1</v>
      </c>
      <c r="BB63" s="334" t="e">
        <f t="shared" si="152"/>
        <v>#DIV/0!</v>
      </c>
      <c r="BC63" s="334" t="e">
        <f t="shared" si="152"/>
        <v>#DIV/0!</v>
      </c>
      <c r="BD63" s="334" t="e">
        <f t="shared" si="152"/>
        <v>#DIV/0!</v>
      </c>
      <c r="BE63" s="334">
        <f t="shared" ref="BE63:CI63" si="153">+BE62/BD62-1</f>
        <v>-1</v>
      </c>
      <c r="BF63" s="334" t="e">
        <f t="shared" si="153"/>
        <v>#DIV/0!</v>
      </c>
      <c r="BG63" s="335" t="e">
        <f t="shared" si="153"/>
        <v>#DIV/0!</v>
      </c>
      <c r="BH63" s="334" t="e">
        <f t="shared" si="153"/>
        <v>#DIV/0!</v>
      </c>
      <c r="BI63" s="334">
        <f t="shared" si="153"/>
        <v>-1</v>
      </c>
      <c r="BJ63" s="334" t="e">
        <f t="shared" si="153"/>
        <v>#DIV/0!</v>
      </c>
      <c r="BK63" s="334" t="e">
        <f t="shared" si="153"/>
        <v>#DIV/0!</v>
      </c>
      <c r="BL63" s="334" t="e">
        <f t="shared" si="153"/>
        <v>#DIV/0!</v>
      </c>
      <c r="BM63" s="334">
        <f t="shared" ca="1" si="153"/>
        <v>-1</v>
      </c>
      <c r="BN63" s="334" t="e">
        <f t="shared" ca="1" si="153"/>
        <v>#DIV/0!</v>
      </c>
      <c r="BO63" s="334" t="e">
        <f t="shared" ca="1" si="153"/>
        <v>#DIV/0!</v>
      </c>
      <c r="BP63" s="334" t="e">
        <f t="shared" ca="1" si="153"/>
        <v>#DIV/0!</v>
      </c>
      <c r="BQ63" s="334">
        <f t="shared" ca="1" si="153"/>
        <v>-1</v>
      </c>
      <c r="BR63" s="334" t="e">
        <f t="shared" ca="1" si="153"/>
        <v>#DIV/0!</v>
      </c>
      <c r="BS63" s="334" t="e">
        <f t="shared" ca="1" si="153"/>
        <v>#DIV/0!</v>
      </c>
      <c r="BT63" s="333" t="e">
        <f t="shared" ca="1" si="153"/>
        <v>#DIV/0!</v>
      </c>
      <c r="BU63" s="333">
        <f t="shared" ca="1" si="153"/>
        <v>-1</v>
      </c>
      <c r="BV63" s="333" t="e">
        <f t="shared" ca="1" si="153"/>
        <v>#DIV/0!</v>
      </c>
      <c r="BW63" s="333" t="e">
        <f t="shared" ca="1" si="153"/>
        <v>#DIV/0!</v>
      </c>
      <c r="BX63" s="333" t="e">
        <f t="shared" ca="1" si="153"/>
        <v>#DIV/0!</v>
      </c>
      <c r="BY63" s="333">
        <f t="shared" ca="1" si="153"/>
        <v>-1</v>
      </c>
      <c r="BZ63" s="333" t="e">
        <f t="shared" ca="1" si="153"/>
        <v>#DIV/0!</v>
      </c>
      <c r="CA63" s="333" t="e">
        <f t="shared" ca="1" si="153"/>
        <v>#DIV/0!</v>
      </c>
      <c r="CB63" s="333" t="e">
        <f t="shared" ca="1" si="153"/>
        <v>#DIV/0!</v>
      </c>
      <c r="CC63" s="333">
        <f t="shared" ca="1" si="153"/>
        <v>-1</v>
      </c>
      <c r="CD63" s="333" t="e">
        <f t="shared" ca="1" si="153"/>
        <v>#DIV/0!</v>
      </c>
      <c r="CE63" s="333" t="e">
        <f t="shared" ca="1" si="153"/>
        <v>#DIV/0!</v>
      </c>
      <c r="CF63" s="333" t="e">
        <f t="shared" ca="1" si="153"/>
        <v>#DIV/0!</v>
      </c>
      <c r="CG63" s="333">
        <f t="shared" ca="1" si="153"/>
        <v>-1</v>
      </c>
      <c r="CH63" s="333" t="e">
        <f t="shared" ca="1" si="153"/>
        <v>#DIV/0!</v>
      </c>
      <c r="CI63" s="333" t="e">
        <f t="shared" ca="1" si="153"/>
        <v>#DIV/0!</v>
      </c>
      <c r="CJ63" s="333" t="e">
        <f t="shared" ref="CJ63" ca="1" si="154">+CJ62/CI62-1</f>
        <v>#DIV/0!</v>
      </c>
      <c r="CK63" s="333">
        <f t="shared" ref="CK63" ca="1" si="155">+CK62/CJ62-1</f>
        <v>-1</v>
      </c>
      <c r="CL63" s="333" t="e">
        <f t="shared" ref="CL63" ca="1" si="156">+CL62/CK62-1</f>
        <v>#DIV/0!</v>
      </c>
      <c r="CM63" s="333" t="e">
        <f t="shared" ref="CM63" ca="1" si="157">+CM62/CL62-1</f>
        <v>#DIV/0!</v>
      </c>
      <c r="CN63" s="333" t="e">
        <f t="shared" ref="CN63" ca="1" si="158">+CN62/CM62-1</f>
        <v>#DIV/0!</v>
      </c>
      <c r="CO63" s="333">
        <f t="shared" ref="CO63" ca="1" si="159">+CO62/CN62-1</f>
        <v>-1</v>
      </c>
      <c r="CP63" s="333" t="e">
        <f t="shared" ref="CP63" ca="1" si="160">+CP62/CO62-1</f>
        <v>#DIV/0!</v>
      </c>
      <c r="CQ63" s="333" t="e">
        <f t="shared" ref="CQ63" ca="1" si="161">+CQ62/CP62-1</f>
        <v>#DIV/0!</v>
      </c>
    </row>
    <row r="64" spans="1:95" s="325" customFormat="1" ht="11.25" customHeight="1">
      <c r="A64" s="329" t="s">
        <v>348</v>
      </c>
      <c r="B64" s="358"/>
      <c r="C64" s="358">
        <f>'Income Statement'!H44</f>
        <v>0</v>
      </c>
      <c r="D64" s="358">
        <f>'Income Statement'!I44</f>
        <v>0</v>
      </c>
      <c r="E64" s="358">
        <f>'Income Statement'!J44</f>
        <v>0</v>
      </c>
      <c r="F64" s="358">
        <f>'Income Statement'!K44</f>
        <v>0</v>
      </c>
      <c r="G64" s="358">
        <f>'Income Statement'!L44</f>
        <v>0</v>
      </c>
      <c r="H64" s="358">
        <f>'Income Statement'!M44</f>
        <v>0</v>
      </c>
      <c r="I64" s="358">
        <f>'Income Statement'!N44</f>
        <v>79760</v>
      </c>
      <c r="J64" s="358">
        <f>'Income Statement'!O44</f>
        <v>79760</v>
      </c>
      <c r="K64" s="358">
        <f>'Income Statement'!P44</f>
        <v>79760</v>
      </c>
      <c r="L64" s="358">
        <f>'Income Statement'!Q44</f>
        <v>79760</v>
      </c>
      <c r="M64" s="358">
        <f>'Income Statement'!R44</f>
        <v>79760</v>
      </c>
      <c r="N64" s="358">
        <f>'Income Statement'!S44</f>
        <v>79760</v>
      </c>
      <c r="O64" s="358">
        <f>'Income Statement'!T44</f>
        <v>79760</v>
      </c>
      <c r="P64" s="357">
        <f ca="1">'Income Statement'!U44</f>
        <v>79760</v>
      </c>
      <c r="Q64" s="357">
        <f ca="1">'Income Statement'!V44</f>
        <v>79760</v>
      </c>
      <c r="R64" s="357">
        <f ca="1">'Income Statement'!W44</f>
        <v>79760</v>
      </c>
      <c r="S64" s="357">
        <f ca="1">'Income Statement'!X44</f>
        <v>79760</v>
      </c>
      <c r="T64" s="357">
        <f ca="1">'Income Statement'!Y44</f>
        <v>79760</v>
      </c>
      <c r="U64" s="357">
        <f ca="1">'Income Statement'!Z44</f>
        <v>79760</v>
      </c>
      <c r="V64" s="323"/>
      <c r="W64" s="329" t="s">
        <v>348</v>
      </c>
      <c r="X64" s="367">
        <f t="shared" ref="X64:BC64" si="162">X65</f>
        <v>0</v>
      </c>
      <c r="Y64" s="367">
        <f t="shared" si="162"/>
        <v>0</v>
      </c>
      <c r="Z64" s="367">
        <f t="shared" si="162"/>
        <v>0</v>
      </c>
      <c r="AA64" s="367">
        <f t="shared" si="162"/>
        <v>0</v>
      </c>
      <c r="AB64" s="367">
        <f t="shared" si="162"/>
        <v>0</v>
      </c>
      <c r="AC64" s="367">
        <f t="shared" si="162"/>
        <v>0</v>
      </c>
      <c r="AD64" s="367">
        <f t="shared" si="162"/>
        <v>0</v>
      </c>
      <c r="AE64" s="367">
        <f t="shared" si="162"/>
        <v>0</v>
      </c>
      <c r="AF64" s="367">
        <f t="shared" si="162"/>
        <v>0</v>
      </c>
      <c r="AG64" s="367">
        <f t="shared" si="162"/>
        <v>0</v>
      </c>
      <c r="AH64" s="367">
        <f t="shared" si="162"/>
        <v>0</v>
      </c>
      <c r="AI64" s="367">
        <f t="shared" si="162"/>
        <v>0</v>
      </c>
      <c r="AJ64" s="367">
        <f t="shared" si="162"/>
        <v>0</v>
      </c>
      <c r="AK64" s="367">
        <f t="shared" si="162"/>
        <v>0</v>
      </c>
      <c r="AL64" s="367">
        <f t="shared" si="162"/>
        <v>0</v>
      </c>
      <c r="AM64" s="367">
        <f t="shared" si="162"/>
        <v>0</v>
      </c>
      <c r="AN64" s="367">
        <f t="shared" si="162"/>
        <v>0</v>
      </c>
      <c r="AO64" s="367">
        <f t="shared" si="162"/>
        <v>0</v>
      </c>
      <c r="AP64" s="367">
        <f t="shared" si="162"/>
        <v>0</v>
      </c>
      <c r="AQ64" s="367">
        <f t="shared" si="162"/>
        <v>0</v>
      </c>
      <c r="AR64" s="367">
        <f t="shared" si="162"/>
        <v>79760</v>
      </c>
      <c r="AS64" s="367">
        <f t="shared" si="162"/>
        <v>79760</v>
      </c>
      <c r="AT64" s="367">
        <f t="shared" si="162"/>
        <v>79760</v>
      </c>
      <c r="AU64" s="367">
        <f t="shared" si="162"/>
        <v>79760</v>
      </c>
      <c r="AV64" s="367">
        <f t="shared" si="162"/>
        <v>79760</v>
      </c>
      <c r="AW64" s="367">
        <f t="shared" si="162"/>
        <v>79760</v>
      </c>
      <c r="AX64" s="367">
        <f t="shared" si="162"/>
        <v>79760</v>
      </c>
      <c r="AY64" s="367">
        <f t="shared" si="162"/>
        <v>79760</v>
      </c>
      <c r="AZ64" s="367">
        <f t="shared" si="162"/>
        <v>79760</v>
      </c>
      <c r="BA64" s="367">
        <f t="shared" si="162"/>
        <v>79760</v>
      </c>
      <c r="BB64" s="367">
        <f t="shared" si="162"/>
        <v>79760</v>
      </c>
      <c r="BC64" s="367">
        <f t="shared" si="162"/>
        <v>79760</v>
      </c>
      <c r="BD64" s="367">
        <f t="shared" ref="BD64:CQ64" si="163">BD65</f>
        <v>79760</v>
      </c>
      <c r="BE64" s="367">
        <f t="shared" si="163"/>
        <v>79760</v>
      </c>
      <c r="BF64" s="367">
        <f t="shared" si="163"/>
        <v>79760</v>
      </c>
      <c r="BG64" s="388">
        <f t="shared" si="163"/>
        <v>79760</v>
      </c>
      <c r="BH64" s="367">
        <f t="shared" si="163"/>
        <v>79760</v>
      </c>
      <c r="BI64" s="367">
        <f t="shared" si="163"/>
        <v>79760</v>
      </c>
      <c r="BJ64" s="367">
        <f t="shared" si="163"/>
        <v>79760</v>
      </c>
      <c r="BK64" s="367">
        <f t="shared" si="163"/>
        <v>79760</v>
      </c>
      <c r="BL64" s="367">
        <f t="shared" si="163"/>
        <v>79760</v>
      </c>
      <c r="BM64" s="367">
        <f t="shared" si="163"/>
        <v>79760</v>
      </c>
      <c r="BN64" s="367">
        <f t="shared" si="163"/>
        <v>79760</v>
      </c>
      <c r="BO64" s="367">
        <f t="shared" si="163"/>
        <v>79760</v>
      </c>
      <c r="BP64" s="367">
        <f t="shared" si="163"/>
        <v>79760</v>
      </c>
      <c r="BQ64" s="367">
        <f t="shared" si="163"/>
        <v>79760</v>
      </c>
      <c r="BR64" s="367">
        <f t="shared" si="163"/>
        <v>79760</v>
      </c>
      <c r="BS64" s="367">
        <f t="shared" si="163"/>
        <v>79760</v>
      </c>
      <c r="BT64" s="387">
        <f t="shared" ca="1" si="163"/>
        <v>79760</v>
      </c>
      <c r="BU64" s="387">
        <f t="shared" ca="1" si="163"/>
        <v>79760</v>
      </c>
      <c r="BV64" s="387">
        <f t="shared" ca="1" si="163"/>
        <v>79760</v>
      </c>
      <c r="BW64" s="387">
        <f t="shared" ca="1" si="163"/>
        <v>79760</v>
      </c>
      <c r="BX64" s="387">
        <f t="shared" ca="1" si="163"/>
        <v>79760</v>
      </c>
      <c r="BY64" s="387">
        <f t="shared" ca="1" si="163"/>
        <v>79760</v>
      </c>
      <c r="BZ64" s="387">
        <f t="shared" ca="1" si="163"/>
        <v>79760</v>
      </c>
      <c r="CA64" s="387">
        <f t="shared" ca="1" si="163"/>
        <v>79760</v>
      </c>
      <c r="CB64" s="387">
        <f t="shared" ca="1" si="163"/>
        <v>79760</v>
      </c>
      <c r="CC64" s="387">
        <f t="shared" ca="1" si="163"/>
        <v>79760</v>
      </c>
      <c r="CD64" s="387">
        <f t="shared" ca="1" si="163"/>
        <v>79760</v>
      </c>
      <c r="CE64" s="387">
        <f t="shared" ca="1" si="163"/>
        <v>79760</v>
      </c>
      <c r="CF64" s="387">
        <f t="shared" ca="1" si="163"/>
        <v>79760</v>
      </c>
      <c r="CG64" s="387">
        <f t="shared" ca="1" si="163"/>
        <v>79760</v>
      </c>
      <c r="CH64" s="387">
        <f t="shared" ca="1" si="163"/>
        <v>79760</v>
      </c>
      <c r="CI64" s="387">
        <f t="shared" ca="1" si="163"/>
        <v>79760</v>
      </c>
      <c r="CJ64" s="387">
        <f t="shared" ca="1" si="163"/>
        <v>79760</v>
      </c>
      <c r="CK64" s="387">
        <f t="shared" ca="1" si="163"/>
        <v>79760</v>
      </c>
      <c r="CL64" s="387">
        <f t="shared" ca="1" si="163"/>
        <v>79760</v>
      </c>
      <c r="CM64" s="387">
        <f t="shared" ca="1" si="163"/>
        <v>79760</v>
      </c>
      <c r="CN64" s="387">
        <f t="shared" ca="1" si="163"/>
        <v>79760</v>
      </c>
      <c r="CO64" s="387">
        <f t="shared" ca="1" si="163"/>
        <v>79760</v>
      </c>
      <c r="CP64" s="387">
        <f t="shared" ca="1" si="163"/>
        <v>79760</v>
      </c>
      <c r="CQ64" s="387">
        <f t="shared" ca="1" si="163"/>
        <v>79760</v>
      </c>
    </row>
    <row r="65" spans="1:95" s="325" customFormat="1" ht="11.25" hidden="1" customHeight="1">
      <c r="A65" s="329" t="s">
        <v>276</v>
      </c>
      <c r="B65" s="358"/>
      <c r="C65" s="358">
        <f t="shared" ref="C65:S65" si="164">C64</f>
        <v>0</v>
      </c>
      <c r="D65" s="358">
        <f t="shared" si="164"/>
        <v>0</v>
      </c>
      <c r="E65" s="358">
        <f t="shared" si="164"/>
        <v>0</v>
      </c>
      <c r="F65" s="358">
        <f t="shared" si="164"/>
        <v>0</v>
      </c>
      <c r="G65" s="358">
        <f t="shared" si="164"/>
        <v>0</v>
      </c>
      <c r="H65" s="358">
        <f t="shared" si="164"/>
        <v>0</v>
      </c>
      <c r="I65" s="358">
        <f t="shared" si="164"/>
        <v>79760</v>
      </c>
      <c r="J65" s="358">
        <f t="shared" si="164"/>
        <v>79760</v>
      </c>
      <c r="K65" s="358">
        <f t="shared" si="164"/>
        <v>79760</v>
      </c>
      <c r="L65" s="358">
        <f t="shared" si="164"/>
        <v>79760</v>
      </c>
      <c r="M65" s="358">
        <f t="shared" si="164"/>
        <v>79760</v>
      </c>
      <c r="N65" s="358">
        <f t="shared" si="164"/>
        <v>79760</v>
      </c>
      <c r="O65" s="358">
        <f t="shared" si="164"/>
        <v>79760</v>
      </c>
      <c r="P65" s="357">
        <f t="shared" ca="1" si="164"/>
        <v>79760</v>
      </c>
      <c r="Q65" s="357">
        <f t="shared" ca="1" si="164"/>
        <v>79760</v>
      </c>
      <c r="R65" s="357">
        <f t="shared" ca="1" si="164"/>
        <v>79760</v>
      </c>
      <c r="S65" s="357">
        <f t="shared" ca="1" si="164"/>
        <v>79760</v>
      </c>
      <c r="T65" s="357">
        <f t="shared" ref="T65:U65" ca="1" si="165">T64</f>
        <v>79760</v>
      </c>
      <c r="U65" s="357">
        <f t="shared" ca="1" si="165"/>
        <v>79760</v>
      </c>
      <c r="V65" s="323"/>
      <c r="W65" s="329" t="s">
        <v>276</v>
      </c>
      <c r="X65" s="367">
        <f>'Income Statement'!BE44</f>
        <v>0</v>
      </c>
      <c r="Y65" s="367">
        <f>'Income Statement'!BF44</f>
        <v>0</v>
      </c>
      <c r="Z65" s="367">
        <f>'Income Statement'!BG44</f>
        <v>0</v>
      </c>
      <c r="AA65" s="367">
        <f>'Income Statement'!BH44</f>
        <v>0</v>
      </c>
      <c r="AB65" s="367">
        <f>'Income Statement'!BI44</f>
        <v>0</v>
      </c>
      <c r="AC65" s="367">
        <f>'Income Statement'!BJ44</f>
        <v>0</v>
      </c>
      <c r="AD65" s="367">
        <f>'Income Statement'!BK44</f>
        <v>0</v>
      </c>
      <c r="AE65" s="367">
        <f>'Income Statement'!BL44</f>
        <v>0</v>
      </c>
      <c r="AF65" s="367">
        <f>'Income Statement'!BM44</f>
        <v>0</v>
      </c>
      <c r="AG65" s="367">
        <f>'Income Statement'!BN44</f>
        <v>0</v>
      </c>
      <c r="AH65" s="367">
        <f>'Income Statement'!BO44</f>
        <v>0</v>
      </c>
      <c r="AI65" s="367">
        <f>'Income Statement'!BP44</f>
        <v>0</v>
      </c>
      <c r="AJ65" s="367">
        <f>'Income Statement'!BQ44</f>
        <v>0</v>
      </c>
      <c r="AK65" s="367">
        <f>'Income Statement'!BR44</f>
        <v>0</v>
      </c>
      <c r="AL65" s="367">
        <f>'Income Statement'!BS44</f>
        <v>0</v>
      </c>
      <c r="AM65" s="367">
        <f>'Income Statement'!BT44</f>
        <v>0</v>
      </c>
      <c r="AN65" s="367">
        <f>'Income Statement'!BU44</f>
        <v>0</v>
      </c>
      <c r="AO65" s="367">
        <f>'Income Statement'!BV44</f>
        <v>0</v>
      </c>
      <c r="AP65" s="367">
        <f>'Income Statement'!BW44</f>
        <v>0</v>
      </c>
      <c r="AQ65" s="367">
        <f>'Income Statement'!BX44</f>
        <v>0</v>
      </c>
      <c r="AR65" s="367">
        <f>'Income Statement'!BY44</f>
        <v>79760</v>
      </c>
      <c r="AS65" s="367">
        <f>'Income Statement'!BZ44</f>
        <v>79760</v>
      </c>
      <c r="AT65" s="367">
        <f>'Income Statement'!CA44</f>
        <v>79760</v>
      </c>
      <c r="AU65" s="367">
        <f>'Income Statement'!CB44</f>
        <v>79760</v>
      </c>
      <c r="AV65" s="367">
        <f>'Income Statement'!CC44</f>
        <v>79760</v>
      </c>
      <c r="AW65" s="367">
        <f>'Income Statement'!CD44</f>
        <v>79760</v>
      </c>
      <c r="AX65" s="367">
        <f>'Income Statement'!CE44</f>
        <v>79760</v>
      </c>
      <c r="AY65" s="367">
        <f>'Income Statement'!CF44</f>
        <v>79760</v>
      </c>
      <c r="AZ65" s="367">
        <f>'Income Statement'!CG44</f>
        <v>79760</v>
      </c>
      <c r="BA65" s="367">
        <f>'Income Statement'!CH44</f>
        <v>79760</v>
      </c>
      <c r="BB65" s="367">
        <f>'Income Statement'!CI44</f>
        <v>79760</v>
      </c>
      <c r="BC65" s="367">
        <f>'Income Statement'!CJ44</f>
        <v>79760</v>
      </c>
      <c r="BD65" s="367">
        <f>'Income Statement'!CK44</f>
        <v>79760</v>
      </c>
      <c r="BE65" s="367">
        <f>'Income Statement'!CL44</f>
        <v>79760</v>
      </c>
      <c r="BF65" s="367">
        <f>'Income Statement'!CM44</f>
        <v>79760</v>
      </c>
      <c r="BG65" s="388">
        <f>'Income Statement'!CN44</f>
        <v>79760</v>
      </c>
      <c r="BH65" s="367">
        <f>'Income Statement'!CO44</f>
        <v>79760</v>
      </c>
      <c r="BI65" s="367">
        <f>'Income Statement'!CP44</f>
        <v>79760</v>
      </c>
      <c r="BJ65" s="367">
        <f>'Income Statement'!CQ44</f>
        <v>79760</v>
      </c>
      <c r="BK65" s="367">
        <f>'Income Statement'!CR44</f>
        <v>79760</v>
      </c>
      <c r="BL65" s="367">
        <f>'Income Statement'!CS44</f>
        <v>79760</v>
      </c>
      <c r="BM65" s="367">
        <f>'Income Statement'!CT44</f>
        <v>79760</v>
      </c>
      <c r="BN65" s="367">
        <f>'Income Statement'!CU44</f>
        <v>79760</v>
      </c>
      <c r="BO65" s="367">
        <f>'Income Statement'!CV44</f>
        <v>79760</v>
      </c>
      <c r="BP65" s="367">
        <f>'Income Statement'!CW44</f>
        <v>79760</v>
      </c>
      <c r="BQ65" s="367">
        <f>'Income Statement'!CX44</f>
        <v>79760</v>
      </c>
      <c r="BR65" s="367">
        <f>'Income Statement'!CY44</f>
        <v>79760</v>
      </c>
      <c r="BS65" s="367">
        <f>'Income Statement'!CZ44</f>
        <v>79760</v>
      </c>
      <c r="BT65" s="387">
        <f ca="1">'Income Statement'!DA44</f>
        <v>79760</v>
      </c>
      <c r="BU65" s="387">
        <f ca="1">'Income Statement'!DB44</f>
        <v>79760</v>
      </c>
      <c r="BV65" s="387">
        <f ca="1">'Income Statement'!DC44</f>
        <v>79760</v>
      </c>
      <c r="BW65" s="387">
        <f ca="1">'Income Statement'!DD44</f>
        <v>79760</v>
      </c>
      <c r="BX65" s="387">
        <f ca="1">'Income Statement'!DE44</f>
        <v>79760</v>
      </c>
      <c r="BY65" s="387">
        <f ca="1">'Income Statement'!DF44</f>
        <v>79760</v>
      </c>
      <c r="BZ65" s="387">
        <f ca="1">'Income Statement'!DG44</f>
        <v>79760</v>
      </c>
      <c r="CA65" s="387">
        <f ca="1">'Income Statement'!DH44</f>
        <v>79760</v>
      </c>
      <c r="CB65" s="387">
        <f ca="1">'Income Statement'!DI44</f>
        <v>79760</v>
      </c>
      <c r="CC65" s="387">
        <f ca="1">'Income Statement'!DJ44</f>
        <v>79760</v>
      </c>
      <c r="CD65" s="387">
        <f ca="1">'Income Statement'!DK44</f>
        <v>79760</v>
      </c>
      <c r="CE65" s="387">
        <f ca="1">'Income Statement'!DL44</f>
        <v>79760</v>
      </c>
      <c r="CF65" s="387">
        <f ca="1">'Income Statement'!DM44</f>
        <v>79760</v>
      </c>
      <c r="CG65" s="387">
        <f ca="1">'Income Statement'!DN44</f>
        <v>79760</v>
      </c>
      <c r="CH65" s="387">
        <f ca="1">'Income Statement'!DO44</f>
        <v>79760</v>
      </c>
      <c r="CI65" s="387">
        <f ca="1">'Income Statement'!DP44</f>
        <v>79760</v>
      </c>
      <c r="CJ65" s="387">
        <f ca="1">'Income Statement'!DQ44</f>
        <v>79760</v>
      </c>
      <c r="CK65" s="387">
        <f ca="1">'Income Statement'!DR44</f>
        <v>79760</v>
      </c>
      <c r="CL65" s="387">
        <f ca="1">'Income Statement'!DS44</f>
        <v>79760</v>
      </c>
      <c r="CM65" s="387">
        <f ca="1">'Income Statement'!DT44</f>
        <v>79760</v>
      </c>
      <c r="CN65" s="387">
        <f ca="1">'Income Statement'!DU44</f>
        <v>79760</v>
      </c>
      <c r="CO65" s="387">
        <f ca="1">'Income Statement'!DV44</f>
        <v>79760</v>
      </c>
      <c r="CP65" s="387">
        <f ca="1">'Income Statement'!DW44</f>
        <v>79760</v>
      </c>
      <c r="CQ65" s="387">
        <f ca="1">'Income Statement'!DX44</f>
        <v>79760</v>
      </c>
    </row>
    <row r="66" spans="1:95" s="325" customFormat="1" ht="11.25" customHeight="1">
      <c r="A66" s="329"/>
      <c r="P66" s="326"/>
      <c r="Q66" s="326"/>
      <c r="R66" s="326"/>
      <c r="S66" s="326"/>
      <c r="T66" s="326"/>
      <c r="U66" s="326"/>
      <c r="V66" s="323"/>
      <c r="W66" s="329"/>
      <c r="X66" s="329"/>
      <c r="Y66" s="329"/>
      <c r="Z66" s="329"/>
      <c r="AA66" s="329"/>
      <c r="AB66" s="329"/>
      <c r="AC66" s="329"/>
      <c r="AD66" s="329"/>
      <c r="AE66" s="329"/>
      <c r="AF66" s="329"/>
      <c r="AG66" s="329"/>
      <c r="AH66" s="329"/>
      <c r="AI66" s="329"/>
      <c r="AJ66" s="329"/>
      <c r="AK66" s="329"/>
      <c r="AL66" s="329"/>
      <c r="AM66" s="329"/>
      <c r="AN66" s="329"/>
      <c r="AO66" s="329"/>
      <c r="AP66" s="329"/>
      <c r="AQ66" s="329"/>
      <c r="AR66" s="329"/>
      <c r="AS66" s="329"/>
      <c r="AT66" s="329"/>
      <c r="AU66" s="329"/>
      <c r="AV66" s="329"/>
      <c r="AW66" s="329"/>
      <c r="AX66" s="329"/>
      <c r="AY66" s="329"/>
      <c r="AZ66" s="329"/>
      <c r="BA66" s="329"/>
      <c r="BB66" s="329"/>
      <c r="BC66" s="329"/>
      <c r="BD66" s="329"/>
      <c r="BE66" s="329"/>
      <c r="BF66" s="329"/>
      <c r="BG66" s="349"/>
      <c r="BH66" s="329"/>
      <c r="BI66" s="329"/>
      <c r="BJ66" s="329"/>
      <c r="BK66" s="329"/>
      <c r="BL66" s="329"/>
      <c r="BM66" s="329"/>
      <c r="BN66" s="329"/>
      <c r="BO66" s="329"/>
      <c r="BP66" s="329"/>
      <c r="BQ66" s="329"/>
      <c r="BR66" s="329"/>
      <c r="BS66" s="329"/>
      <c r="BT66" s="348"/>
      <c r="BU66" s="348"/>
      <c r="BV66" s="348"/>
      <c r="BW66" s="348"/>
      <c r="BX66" s="348"/>
      <c r="BY66" s="348"/>
      <c r="BZ66" s="348"/>
      <c r="CA66" s="348"/>
      <c r="CB66" s="348"/>
      <c r="CC66" s="348"/>
      <c r="CD66" s="348"/>
      <c r="CE66" s="348"/>
      <c r="CF66" s="348"/>
      <c r="CG66" s="348"/>
      <c r="CH66" s="348"/>
      <c r="CI66" s="348"/>
      <c r="CJ66" s="348"/>
      <c r="CK66" s="348"/>
      <c r="CL66" s="348"/>
      <c r="CM66" s="348"/>
      <c r="CN66" s="348"/>
      <c r="CO66" s="348"/>
      <c r="CP66" s="348"/>
      <c r="CQ66" s="348"/>
    </row>
    <row r="67" spans="1:95" s="325" customFormat="1" ht="11.25" customHeight="1">
      <c r="A67" s="354" t="s">
        <v>347</v>
      </c>
      <c r="B67" s="299">
        <f t="shared" ref="B67:S67" si="166">+B7</f>
        <v>2002</v>
      </c>
      <c r="C67" s="299">
        <f t="shared" si="166"/>
        <v>2003</v>
      </c>
      <c r="D67" s="299">
        <f t="shared" si="166"/>
        <v>2004</v>
      </c>
      <c r="E67" s="299">
        <f t="shared" si="166"/>
        <v>2005</v>
      </c>
      <c r="F67" s="299">
        <f t="shared" si="166"/>
        <v>2006</v>
      </c>
      <c r="G67" s="299">
        <f t="shared" si="166"/>
        <v>2007</v>
      </c>
      <c r="H67" s="299">
        <f t="shared" si="166"/>
        <v>2008</v>
      </c>
      <c r="I67" s="299">
        <f t="shared" si="166"/>
        <v>2009</v>
      </c>
      <c r="J67" s="299">
        <f t="shared" si="166"/>
        <v>2010</v>
      </c>
      <c r="K67" s="299">
        <f t="shared" si="166"/>
        <v>2011</v>
      </c>
      <c r="L67" s="299">
        <f t="shared" si="166"/>
        <v>2012</v>
      </c>
      <c r="M67" s="299">
        <f t="shared" si="166"/>
        <v>2013</v>
      </c>
      <c r="N67" s="299">
        <f t="shared" si="166"/>
        <v>2014</v>
      </c>
      <c r="O67" s="299">
        <f t="shared" si="166"/>
        <v>2015</v>
      </c>
      <c r="P67" s="181" t="str">
        <f t="shared" si="166"/>
        <v>2016E</v>
      </c>
      <c r="Q67" s="181" t="str">
        <f t="shared" si="166"/>
        <v>2017E</v>
      </c>
      <c r="R67" s="181" t="str">
        <f t="shared" si="166"/>
        <v>2018E</v>
      </c>
      <c r="S67" s="181" t="str">
        <f t="shared" si="166"/>
        <v>2019E</v>
      </c>
      <c r="T67" s="181" t="str">
        <f t="shared" ref="T67:U67" si="167">+T7</f>
        <v>2020E</v>
      </c>
      <c r="U67" s="181" t="str">
        <f t="shared" si="167"/>
        <v>2021E</v>
      </c>
      <c r="V67" s="323"/>
      <c r="W67" s="371" t="s">
        <v>346</v>
      </c>
      <c r="X67" s="371"/>
      <c r="Y67" s="352" t="str">
        <f t="shared" ref="Y67:BD67" si="168">+Y7</f>
        <v>2Q04</v>
      </c>
      <c r="Z67" s="352" t="str">
        <f t="shared" si="168"/>
        <v>3Q04</v>
      </c>
      <c r="AA67" s="352" t="str">
        <f t="shared" si="168"/>
        <v>4Q04</v>
      </c>
      <c r="AB67" s="352" t="str">
        <f t="shared" si="168"/>
        <v>1Q05</v>
      </c>
      <c r="AC67" s="352" t="str">
        <f t="shared" si="168"/>
        <v>2Q05</v>
      </c>
      <c r="AD67" s="352" t="str">
        <f t="shared" si="168"/>
        <v>3Q05</v>
      </c>
      <c r="AE67" s="352" t="str">
        <f t="shared" si="168"/>
        <v>4Q05</v>
      </c>
      <c r="AF67" s="352" t="str">
        <f t="shared" si="168"/>
        <v>1Q06</v>
      </c>
      <c r="AG67" s="352" t="str">
        <f t="shared" si="168"/>
        <v>2Q06</v>
      </c>
      <c r="AH67" s="352" t="str">
        <f t="shared" si="168"/>
        <v>3Q06</v>
      </c>
      <c r="AI67" s="352" t="str">
        <f t="shared" si="168"/>
        <v>4Q06</v>
      </c>
      <c r="AJ67" s="352" t="str">
        <f t="shared" si="168"/>
        <v>1Q07</v>
      </c>
      <c r="AK67" s="352" t="str">
        <f t="shared" si="168"/>
        <v>2Q07</v>
      </c>
      <c r="AL67" s="352" t="str">
        <f t="shared" si="168"/>
        <v>3Q07</v>
      </c>
      <c r="AM67" s="352" t="str">
        <f t="shared" si="168"/>
        <v>4Q07</v>
      </c>
      <c r="AN67" s="352" t="str">
        <f t="shared" si="168"/>
        <v>1Q08</v>
      </c>
      <c r="AO67" s="352" t="str">
        <f t="shared" si="168"/>
        <v>2Q08</v>
      </c>
      <c r="AP67" s="352" t="str">
        <f t="shared" si="168"/>
        <v>3Q08</v>
      </c>
      <c r="AQ67" s="352" t="str">
        <f t="shared" si="168"/>
        <v>4Q08</v>
      </c>
      <c r="AR67" s="352" t="str">
        <f t="shared" si="168"/>
        <v>1Q09</v>
      </c>
      <c r="AS67" s="352" t="str">
        <f t="shared" si="168"/>
        <v>2Q09</v>
      </c>
      <c r="AT67" s="352" t="str">
        <f t="shared" si="168"/>
        <v>3Q09</v>
      </c>
      <c r="AU67" s="352" t="str">
        <f t="shared" si="168"/>
        <v>4Q09</v>
      </c>
      <c r="AV67" s="352" t="str">
        <f t="shared" si="168"/>
        <v>1Q10</v>
      </c>
      <c r="AW67" s="352" t="str">
        <f t="shared" si="168"/>
        <v>2Q10</v>
      </c>
      <c r="AX67" s="352" t="str">
        <f t="shared" si="168"/>
        <v>3Q10</v>
      </c>
      <c r="AY67" s="352" t="str">
        <f t="shared" si="168"/>
        <v>4Q10</v>
      </c>
      <c r="AZ67" s="352" t="str">
        <f t="shared" si="168"/>
        <v>1Q11</v>
      </c>
      <c r="BA67" s="352" t="str">
        <f t="shared" si="168"/>
        <v>2Q11</v>
      </c>
      <c r="BB67" s="352" t="str">
        <f t="shared" si="168"/>
        <v>3Q11</v>
      </c>
      <c r="BC67" s="352" t="str">
        <f t="shared" si="168"/>
        <v>4Q11</v>
      </c>
      <c r="BD67" s="352" t="str">
        <f t="shared" si="168"/>
        <v>1Q12</v>
      </c>
      <c r="BE67" s="352" t="str">
        <f t="shared" ref="BE67:CI67" si="169">+BE7</f>
        <v>2Q12</v>
      </c>
      <c r="BF67" s="352" t="str">
        <f t="shared" si="169"/>
        <v>3Q12</v>
      </c>
      <c r="BG67" s="353" t="str">
        <f t="shared" si="169"/>
        <v>4Q12</v>
      </c>
      <c r="BH67" s="352" t="str">
        <f t="shared" si="169"/>
        <v>1Q13</v>
      </c>
      <c r="BI67" s="352" t="str">
        <f t="shared" ref="BI67" si="170">+BI7</f>
        <v>2Q13</v>
      </c>
      <c r="BJ67" s="352" t="str">
        <f t="shared" si="169"/>
        <v>3Q13</v>
      </c>
      <c r="BK67" s="352" t="str">
        <f t="shared" si="169"/>
        <v>4Q13</v>
      </c>
      <c r="BL67" s="352" t="str">
        <f t="shared" ref="BL67" si="171">+BL7</f>
        <v>1Q14</v>
      </c>
      <c r="BM67" s="352" t="str">
        <f t="shared" si="169"/>
        <v>2Q14</v>
      </c>
      <c r="BN67" s="352" t="str">
        <f t="shared" ref="BN67:BO67" si="172">+BN7</f>
        <v>3Q14</v>
      </c>
      <c r="BO67" s="352" t="str">
        <f t="shared" si="172"/>
        <v>4Q14</v>
      </c>
      <c r="BP67" s="352" t="str">
        <f t="shared" si="169"/>
        <v>1Q15</v>
      </c>
      <c r="BQ67" s="352" t="str">
        <f t="shared" si="169"/>
        <v>2Q15</v>
      </c>
      <c r="BR67" s="352" t="str">
        <f t="shared" ref="BR67:BS67" si="173">+BR7</f>
        <v>3Q15</v>
      </c>
      <c r="BS67" s="352" t="str">
        <f t="shared" si="173"/>
        <v>4Q15</v>
      </c>
      <c r="BT67" s="181" t="str">
        <f t="shared" si="169"/>
        <v>1Q16E</v>
      </c>
      <c r="BU67" s="181" t="str">
        <f t="shared" si="169"/>
        <v>2Q16E</v>
      </c>
      <c r="BV67" s="181" t="str">
        <f t="shared" si="169"/>
        <v>3Q16E</v>
      </c>
      <c r="BW67" s="181" t="str">
        <f t="shared" si="169"/>
        <v>4Q16E</v>
      </c>
      <c r="BX67" s="181" t="str">
        <f t="shared" si="169"/>
        <v>1Q17E</v>
      </c>
      <c r="BY67" s="181" t="str">
        <f t="shared" si="169"/>
        <v>2Q17E</v>
      </c>
      <c r="BZ67" s="181" t="str">
        <f t="shared" si="169"/>
        <v>3Q17E</v>
      </c>
      <c r="CA67" s="181" t="str">
        <f t="shared" si="169"/>
        <v>4Q17E</v>
      </c>
      <c r="CB67" s="181" t="str">
        <f t="shared" si="169"/>
        <v>1Q18E</v>
      </c>
      <c r="CC67" s="181" t="str">
        <f t="shared" si="169"/>
        <v>2Q18E</v>
      </c>
      <c r="CD67" s="181" t="str">
        <f t="shared" si="169"/>
        <v>3Q18E</v>
      </c>
      <c r="CE67" s="181" t="str">
        <f t="shared" si="169"/>
        <v>4Q18E</v>
      </c>
      <c r="CF67" s="181" t="str">
        <f t="shared" si="169"/>
        <v>1Q19E</v>
      </c>
      <c r="CG67" s="181" t="str">
        <f t="shared" si="169"/>
        <v>2Q19E</v>
      </c>
      <c r="CH67" s="181" t="str">
        <f t="shared" si="169"/>
        <v>3Q19E</v>
      </c>
      <c r="CI67" s="181" t="str">
        <f t="shared" si="169"/>
        <v>4Q19E</v>
      </c>
      <c r="CJ67" s="181" t="str">
        <f t="shared" ref="CJ67:CM67" si="174">+CJ7</f>
        <v>1Q20E</v>
      </c>
      <c r="CK67" s="181" t="str">
        <f t="shared" si="174"/>
        <v>2Q20E</v>
      </c>
      <c r="CL67" s="181" t="str">
        <f t="shared" si="174"/>
        <v>3Q20E</v>
      </c>
      <c r="CM67" s="181" t="str">
        <f t="shared" si="174"/>
        <v>4Q20E</v>
      </c>
      <c r="CN67" s="181" t="str">
        <f t="shared" ref="CN67:CQ67" si="175">+CN7</f>
        <v>1Q21E</v>
      </c>
      <c r="CO67" s="181" t="str">
        <f t="shared" si="175"/>
        <v>2Q21E</v>
      </c>
      <c r="CP67" s="181" t="str">
        <f t="shared" si="175"/>
        <v>3Q21E</v>
      </c>
      <c r="CQ67" s="181" t="str">
        <f t="shared" si="175"/>
        <v>4Q21E</v>
      </c>
    </row>
    <row r="68" spans="1:95" s="325" customFormat="1" ht="11.25" customHeight="1">
      <c r="A68" s="329" t="s">
        <v>345</v>
      </c>
      <c r="B68" s="331"/>
      <c r="C68" s="331" t="e">
        <f t="shared" ref="C68:S68" si="176">+C47/C137</f>
        <v>#DIV/0!</v>
      </c>
      <c r="D68" s="331" t="e">
        <f t="shared" si="176"/>
        <v>#DIV/0!</v>
      </c>
      <c r="E68" s="331" t="e">
        <f t="shared" si="176"/>
        <v>#DIV/0!</v>
      </c>
      <c r="F68" s="331" t="e">
        <f t="shared" si="176"/>
        <v>#DIV/0!</v>
      </c>
      <c r="G68" s="331" t="e">
        <f t="shared" si="176"/>
        <v>#DIV/0!</v>
      </c>
      <c r="H68" s="331" t="e">
        <f t="shared" si="176"/>
        <v>#DIV/0!</v>
      </c>
      <c r="I68" s="331">
        <f t="shared" si="176"/>
        <v>0.2110572172820494</v>
      </c>
      <c r="J68" s="331">
        <f t="shared" si="176"/>
        <v>0.22151182007315914</v>
      </c>
      <c r="K68" s="331">
        <f t="shared" si="176"/>
        <v>0.23215064579195666</v>
      </c>
      <c r="L68" s="331">
        <f t="shared" si="176"/>
        <v>0.21085795135234808</v>
      </c>
      <c r="M68" s="331">
        <f t="shared" si="176"/>
        <v>0.13701872902366952</v>
      </c>
      <c r="N68" s="331">
        <f>+N47/N137</f>
        <v>0.18771353649282344</v>
      </c>
      <c r="O68" s="331">
        <f t="shared" si="176"/>
        <v>0.20405414337372083</v>
      </c>
      <c r="P68" s="330">
        <f t="shared" ca="1" si="176"/>
        <v>0.20104304462674658</v>
      </c>
      <c r="Q68" s="330">
        <f t="shared" ca="1" si="176"/>
        <v>0.2033101160781268</v>
      </c>
      <c r="R68" s="330">
        <f t="shared" ca="1" si="176"/>
        <v>0.20529914962477896</v>
      </c>
      <c r="S68" s="330">
        <f t="shared" ca="1" si="176"/>
        <v>0.20126043596657475</v>
      </c>
      <c r="T68" s="330">
        <f t="shared" ref="T68:U68" ca="1" si="177">+T47/T137</f>
        <v>0.19959482342829374</v>
      </c>
      <c r="U68" s="330">
        <f t="shared" ca="1" si="177"/>
        <v>0.19833695063905135</v>
      </c>
      <c r="V68" s="323"/>
      <c r="W68" s="329" t="s">
        <v>345</v>
      </c>
      <c r="X68" s="331"/>
      <c r="Y68" s="331" t="e">
        <f t="shared" ref="Y68:BD68" si="178">(+Y47/Y137)*4</f>
        <v>#DIV/0!</v>
      </c>
      <c r="Z68" s="331" t="e">
        <f t="shared" si="178"/>
        <v>#DIV/0!</v>
      </c>
      <c r="AA68" s="331" t="e">
        <f t="shared" si="178"/>
        <v>#DIV/0!</v>
      </c>
      <c r="AB68" s="331" t="e">
        <f t="shared" si="178"/>
        <v>#DIV/0!</v>
      </c>
      <c r="AC68" s="331" t="e">
        <f t="shared" si="178"/>
        <v>#DIV/0!</v>
      </c>
      <c r="AD68" s="331" t="e">
        <f t="shared" si="178"/>
        <v>#DIV/0!</v>
      </c>
      <c r="AE68" s="331" t="e">
        <f t="shared" si="178"/>
        <v>#DIV/0!</v>
      </c>
      <c r="AF68" s="331" t="e">
        <f t="shared" si="178"/>
        <v>#DIV/0!</v>
      </c>
      <c r="AG68" s="331" t="e">
        <f t="shared" si="178"/>
        <v>#DIV/0!</v>
      </c>
      <c r="AH68" s="331" t="e">
        <f t="shared" si="178"/>
        <v>#DIV/0!</v>
      </c>
      <c r="AI68" s="331" t="e">
        <f t="shared" si="178"/>
        <v>#DIV/0!</v>
      </c>
      <c r="AJ68" s="331" t="e">
        <f t="shared" si="178"/>
        <v>#DIV/0!</v>
      </c>
      <c r="AK68" s="331" t="e">
        <f t="shared" si="178"/>
        <v>#DIV/0!</v>
      </c>
      <c r="AL68" s="331" t="e">
        <f t="shared" si="178"/>
        <v>#DIV/0!</v>
      </c>
      <c r="AM68" s="331" t="e">
        <f t="shared" si="178"/>
        <v>#DIV/0!</v>
      </c>
      <c r="AN68" s="331" t="e">
        <f t="shared" si="178"/>
        <v>#DIV/0!</v>
      </c>
      <c r="AO68" s="331" t="e">
        <f t="shared" si="178"/>
        <v>#DIV/0!</v>
      </c>
      <c r="AP68" s="331" t="e">
        <f t="shared" si="178"/>
        <v>#DIV/0!</v>
      </c>
      <c r="AQ68" s="331" t="e">
        <f t="shared" si="178"/>
        <v>#DIV/0!</v>
      </c>
      <c r="AR68" s="331">
        <f t="shared" si="178"/>
        <v>0.5362062325809307</v>
      </c>
      <c r="AS68" s="331">
        <f t="shared" si="178"/>
        <v>0.24920893769498645</v>
      </c>
      <c r="AT68" s="331">
        <f t="shared" si="178"/>
        <v>0.23876078254296532</v>
      </c>
      <c r="AU68" s="331">
        <f t="shared" si="178"/>
        <v>0.22056995713998642</v>
      </c>
      <c r="AV68" s="331">
        <f t="shared" si="178"/>
        <v>0.21434683778875466</v>
      </c>
      <c r="AW68" s="331">
        <f t="shared" si="178"/>
        <v>0.2752939515232436</v>
      </c>
      <c r="AX68" s="331">
        <f t="shared" si="178"/>
        <v>0.24359560852416329</v>
      </c>
      <c r="AY68" s="331">
        <f t="shared" si="178"/>
        <v>0.18893576277379392</v>
      </c>
      <c r="AZ68" s="331">
        <f t="shared" si="178"/>
        <v>0.24759778486755721</v>
      </c>
      <c r="BA68" s="331">
        <f t="shared" si="178"/>
        <v>0.2413902372721487</v>
      </c>
      <c r="BB68" s="331">
        <f t="shared" si="178"/>
        <v>0.22391587746648631</v>
      </c>
      <c r="BC68" s="331">
        <f t="shared" si="178"/>
        <v>0.24167958213953947</v>
      </c>
      <c r="BD68" s="331">
        <f t="shared" si="178"/>
        <v>0.21997894529395046</v>
      </c>
      <c r="BE68" s="331">
        <f t="shared" ref="BE68:CI68" si="179">(+BE47/BE137)*4</f>
        <v>0.19402702796229404</v>
      </c>
      <c r="BF68" s="331">
        <f t="shared" si="179"/>
        <v>0.23524138686113877</v>
      </c>
      <c r="BG68" s="332">
        <f t="shared" si="179"/>
        <v>0.19569864193869829</v>
      </c>
      <c r="BH68" s="331">
        <f t="shared" si="179"/>
        <v>0.17625759599602095</v>
      </c>
      <c r="BI68" s="331">
        <f t="shared" ref="BI68" si="180">(+BI47/BI137)*4</f>
        <v>5.4424471424919768E-2</v>
      </c>
      <c r="BJ68" s="331">
        <f t="shared" si="179"/>
        <v>0.18066756567490661</v>
      </c>
      <c r="BK68" s="331">
        <f t="shared" si="179"/>
        <v>0.14558552266884323</v>
      </c>
      <c r="BL68" s="331">
        <f t="shared" ref="BL68" si="181">(+BL47/BL137)*4</f>
        <v>0.202814494422659</v>
      </c>
      <c r="BM68" s="331">
        <f t="shared" si="179"/>
        <v>0.18887282428244898</v>
      </c>
      <c r="BN68" s="331">
        <f t="shared" ref="BN68:BO68" si="182">(+BN47/BN137)*4</f>
        <v>0.19691840475910175</v>
      </c>
      <c r="BO68" s="331">
        <f t="shared" si="182"/>
        <v>0.17210151924328335</v>
      </c>
      <c r="BP68" s="331">
        <f t="shared" si="179"/>
        <v>0.22839902073957102</v>
      </c>
      <c r="BQ68" s="331">
        <f t="shared" si="179"/>
        <v>0.20662197088976764</v>
      </c>
      <c r="BR68" s="331">
        <f t="shared" ref="BR68:BS68" si="183">(+BR47/BR137)*4</f>
        <v>0.19980182904388533</v>
      </c>
      <c r="BS68" s="331">
        <f t="shared" si="183"/>
        <v>0.19681172121321028</v>
      </c>
      <c r="BT68" s="330">
        <f t="shared" ca="1" si="179"/>
        <v>0.20392609550046606</v>
      </c>
      <c r="BU68" s="330">
        <f t="shared" ca="1" si="179"/>
        <v>0.20511424870943409</v>
      </c>
      <c r="BV68" s="330">
        <f t="shared" ca="1" si="179"/>
        <v>0.20787505036984219</v>
      </c>
      <c r="BW68" s="330">
        <f t="shared" ca="1" si="179"/>
        <v>0.20315211570492989</v>
      </c>
      <c r="BX68" s="330">
        <f t="shared" ca="1" si="179"/>
        <v>0.2119726512009906</v>
      </c>
      <c r="BY68" s="330">
        <f t="shared" ca="1" si="179"/>
        <v>0.21222953192758676</v>
      </c>
      <c r="BZ68" s="330">
        <f t="shared" ca="1" si="179"/>
        <v>0.20572157221473972</v>
      </c>
      <c r="CA68" s="330">
        <f t="shared" ca="1" si="179"/>
        <v>0.19890792117731021</v>
      </c>
      <c r="CB68" s="330">
        <f t="shared" ca="1" si="179"/>
        <v>0.20898754805017855</v>
      </c>
      <c r="CC68" s="330">
        <f t="shared" ca="1" si="179"/>
        <v>0.21348092577990133</v>
      </c>
      <c r="CD68" s="330">
        <f t="shared" ca="1" si="179"/>
        <v>0.20983743761681542</v>
      </c>
      <c r="CE68" s="330">
        <f t="shared" ca="1" si="179"/>
        <v>0.20492141472642622</v>
      </c>
      <c r="CF68" s="330">
        <f t="shared" ca="1" si="179"/>
        <v>0.21137926811043589</v>
      </c>
      <c r="CG68" s="330">
        <f t="shared" ca="1" si="179"/>
        <v>0.20969034534776756</v>
      </c>
      <c r="CH68" s="330">
        <f t="shared" ca="1" si="179"/>
        <v>0.20367665845157309</v>
      </c>
      <c r="CI68" s="330">
        <f t="shared" ca="1" si="179"/>
        <v>0.19590747059478758</v>
      </c>
      <c r="CJ68" s="330">
        <f t="shared" ref="CJ68:CM68" ca="1" si="184">(+CJ47/CJ137)*4</f>
        <v>0.20606378023814764</v>
      </c>
      <c r="CK68" s="330">
        <f t="shared" ca="1" si="184"/>
        <v>0.20790183599214551</v>
      </c>
      <c r="CL68" s="330">
        <f t="shared" ca="1" si="184"/>
        <v>0.20360244716721973</v>
      </c>
      <c r="CM68" s="330">
        <f t="shared" ca="1" si="184"/>
        <v>0.19610917839419009</v>
      </c>
      <c r="CN68" s="330">
        <f t="shared" ref="CN68:CQ68" ca="1" si="185">(+CN47/CN137)*4</f>
        <v>0.20539357246545709</v>
      </c>
      <c r="CO68" s="330">
        <f t="shared" ca="1" si="185"/>
        <v>0.20679316189001637</v>
      </c>
      <c r="CP68" s="330">
        <f t="shared" ca="1" si="185"/>
        <v>0.20154039581448024</v>
      </c>
      <c r="CQ68" s="330">
        <f t="shared" ca="1" si="185"/>
        <v>0.19468141475296946</v>
      </c>
    </row>
    <row r="69" spans="1:95" s="325" customFormat="1" ht="11.25" customHeight="1">
      <c r="A69" s="329" t="s">
        <v>344</v>
      </c>
      <c r="B69" s="331"/>
      <c r="C69" s="331" t="e">
        <f t="shared" ref="C69:S69" si="186">+C47/C131</f>
        <v>#DIV/0!</v>
      </c>
      <c r="D69" s="331" t="e">
        <f t="shared" si="186"/>
        <v>#DIV/0!</v>
      </c>
      <c r="E69" s="331" t="e">
        <f t="shared" si="186"/>
        <v>#DIV/0!</v>
      </c>
      <c r="F69" s="331" t="e">
        <f t="shared" si="186"/>
        <v>#DIV/0!</v>
      </c>
      <c r="G69" s="331" t="e">
        <f t="shared" si="186"/>
        <v>#DIV/0!</v>
      </c>
      <c r="H69" s="331" t="e">
        <f t="shared" si="186"/>
        <v>#DIV/0!</v>
      </c>
      <c r="I69" s="331">
        <f>+I47/(2*I131)</f>
        <v>2.2020130468117866E-2</v>
      </c>
      <c r="J69" s="331">
        <f t="shared" si="186"/>
        <v>2.2425544360720213E-2</v>
      </c>
      <c r="K69" s="331">
        <f t="shared" si="186"/>
        <v>2.4163400506435062E-2</v>
      </c>
      <c r="L69" s="331">
        <f t="shared" si="186"/>
        <v>2.2095901141733824E-2</v>
      </c>
      <c r="M69" s="331">
        <f t="shared" si="186"/>
        <v>1.4022208749425006E-2</v>
      </c>
      <c r="N69" s="331">
        <f t="shared" si="186"/>
        <v>1.9380668694179402E-2</v>
      </c>
      <c r="O69" s="331">
        <f t="shared" si="186"/>
        <v>2.1100765699819998E-2</v>
      </c>
      <c r="P69" s="330">
        <f t="shared" ca="1" si="186"/>
        <v>2.1428728926777711E-2</v>
      </c>
      <c r="Q69" s="330">
        <f t="shared" ca="1" si="186"/>
        <v>2.3075327192689041E-2</v>
      </c>
      <c r="R69" s="330">
        <f t="shared" ca="1" si="186"/>
        <v>2.5078993683927821E-2</v>
      </c>
      <c r="S69" s="330">
        <f t="shared" ca="1" si="186"/>
        <v>2.6422467101589343E-2</v>
      </c>
      <c r="T69" s="330">
        <f t="shared" ref="T69:U69" ca="1" si="187">+T47/T131</f>
        <v>2.7972480273291186E-2</v>
      </c>
      <c r="U69" s="330">
        <f t="shared" ca="1" si="187"/>
        <v>2.9484192329040655E-2</v>
      </c>
      <c r="V69" s="323"/>
      <c r="W69" s="329" t="s">
        <v>344</v>
      </c>
      <c r="X69" s="331"/>
      <c r="Y69" s="331" t="e">
        <f t="shared" ref="Y69:BD69" si="188">(+Y47/Y131)*4</f>
        <v>#DIV/0!</v>
      </c>
      <c r="Z69" s="331" t="e">
        <f t="shared" si="188"/>
        <v>#DIV/0!</v>
      </c>
      <c r="AA69" s="331" t="e">
        <f t="shared" si="188"/>
        <v>#DIV/0!</v>
      </c>
      <c r="AB69" s="331" t="e">
        <f t="shared" si="188"/>
        <v>#DIV/0!</v>
      </c>
      <c r="AC69" s="331" t="e">
        <f t="shared" si="188"/>
        <v>#DIV/0!</v>
      </c>
      <c r="AD69" s="331" t="e">
        <f t="shared" si="188"/>
        <v>#DIV/0!</v>
      </c>
      <c r="AE69" s="331" t="e">
        <f t="shared" si="188"/>
        <v>#DIV/0!</v>
      </c>
      <c r="AF69" s="331" t="e">
        <f t="shared" si="188"/>
        <v>#DIV/0!</v>
      </c>
      <c r="AG69" s="331" t="e">
        <f t="shared" si="188"/>
        <v>#DIV/0!</v>
      </c>
      <c r="AH69" s="331" t="e">
        <f t="shared" si="188"/>
        <v>#DIV/0!</v>
      </c>
      <c r="AI69" s="331" t="e">
        <f t="shared" si="188"/>
        <v>#DIV/0!</v>
      </c>
      <c r="AJ69" s="331" t="e">
        <f t="shared" si="188"/>
        <v>#DIV/0!</v>
      </c>
      <c r="AK69" s="331" t="e">
        <f t="shared" si="188"/>
        <v>#DIV/0!</v>
      </c>
      <c r="AL69" s="331" t="e">
        <f t="shared" si="188"/>
        <v>#DIV/0!</v>
      </c>
      <c r="AM69" s="331" t="e">
        <f t="shared" si="188"/>
        <v>#DIV/0!</v>
      </c>
      <c r="AN69" s="331" t="e">
        <f t="shared" si="188"/>
        <v>#DIV/0!</v>
      </c>
      <c r="AO69" s="331" t="e">
        <f t="shared" si="188"/>
        <v>#DIV/0!</v>
      </c>
      <c r="AP69" s="331" t="e">
        <f t="shared" si="188"/>
        <v>#DIV/0!</v>
      </c>
      <c r="AQ69" s="331" t="e">
        <f t="shared" si="188"/>
        <v>#DIV/0!</v>
      </c>
      <c r="AR69" s="331">
        <f t="shared" si="188"/>
        <v>4.2446847482819357E-2</v>
      </c>
      <c r="AS69" s="331">
        <f t="shared" si="188"/>
        <v>2.1340037050950073E-2</v>
      </c>
      <c r="AT69" s="331">
        <f t="shared" si="188"/>
        <v>2.3252979864061687E-2</v>
      </c>
      <c r="AU69" s="331">
        <f t="shared" si="188"/>
        <v>2.2821947409770709E-2</v>
      </c>
      <c r="AV69" s="331">
        <f t="shared" si="188"/>
        <v>2.159307605257426E-2</v>
      </c>
      <c r="AW69" s="331">
        <f t="shared" si="188"/>
        <v>2.744913976799071E-2</v>
      </c>
      <c r="AX69" s="331">
        <f t="shared" si="188"/>
        <v>2.4744044925300364E-2</v>
      </c>
      <c r="AY69" s="331">
        <f t="shared" si="188"/>
        <v>1.8872295122774021E-2</v>
      </c>
      <c r="AZ69" s="331">
        <f t="shared" si="188"/>
        <v>2.4039363994400029E-2</v>
      </c>
      <c r="BA69" s="331">
        <f t="shared" si="188"/>
        <v>2.3590015113642494E-2</v>
      </c>
      <c r="BB69" s="331">
        <f t="shared" si="188"/>
        <v>2.2874147833071644E-2</v>
      </c>
      <c r="BC69" s="331">
        <f t="shared" si="188"/>
        <v>2.5800588585303753E-2</v>
      </c>
      <c r="BD69" s="331">
        <f t="shared" si="188"/>
        <v>2.3224887786821417E-2</v>
      </c>
      <c r="BE69" s="331">
        <f t="shared" ref="BE69:CI69" si="189">(+BE47/BE131)*4</f>
        <v>2.008931314378181E-2</v>
      </c>
      <c r="BF69" s="331">
        <f t="shared" si="189"/>
        <v>2.4830331032840051E-2</v>
      </c>
      <c r="BG69" s="332">
        <f t="shared" si="189"/>
        <v>2.0296392175503008E-2</v>
      </c>
      <c r="BH69" s="331">
        <f t="shared" si="189"/>
        <v>1.7458591275905606E-2</v>
      </c>
      <c r="BI69" s="331">
        <f t="shared" ref="BI69" si="190">(+BI47/BI131)*4</f>
        <v>5.2903423732875016E-3</v>
      </c>
      <c r="BJ69" s="331">
        <f t="shared" si="189"/>
        <v>1.8000775562959388E-2</v>
      </c>
      <c r="BK69" s="331">
        <f t="shared" si="189"/>
        <v>1.4927375641474078E-2</v>
      </c>
      <c r="BL69" s="331">
        <f t="shared" ref="BL69" si="191">(+BL47/BL131)*4</f>
        <v>2.0225132134492268E-2</v>
      </c>
      <c r="BM69" s="331">
        <f t="shared" si="189"/>
        <v>1.8623939644122133E-2</v>
      </c>
      <c r="BN69" s="331">
        <f t="shared" ref="BN69:BO69" si="192">(+BN47/BN131)*4</f>
        <v>1.9875174949658188E-2</v>
      </c>
      <c r="BO69" s="331">
        <f t="shared" si="192"/>
        <v>1.7584365118614914E-2</v>
      </c>
      <c r="BP69" s="331">
        <f t="shared" si="189"/>
        <v>2.3299035221009685E-2</v>
      </c>
      <c r="BQ69" s="331">
        <f t="shared" si="189"/>
        <v>2.1099226490521743E-2</v>
      </c>
      <c r="BR69" s="331">
        <f t="shared" ref="BR69:BS69" si="193">(+BR47/BR131)*4</f>
        <v>2.0218259907322501E-2</v>
      </c>
      <c r="BS69" s="331">
        <f t="shared" si="193"/>
        <v>1.9956020140899176E-2</v>
      </c>
      <c r="BT69" s="330">
        <f t="shared" ca="1" si="189"/>
        <v>2.0453954240076237E-2</v>
      </c>
      <c r="BU69" s="330">
        <f t="shared" ca="1" si="189"/>
        <v>2.0523206422588307E-2</v>
      </c>
      <c r="BV69" s="330">
        <f t="shared" ca="1" si="189"/>
        <v>2.1483865185785257E-2</v>
      </c>
      <c r="BW69" s="330">
        <f t="shared" ca="1" si="189"/>
        <v>2.1643302304261501E-2</v>
      </c>
      <c r="BX69" s="330">
        <f t="shared" ca="1" si="189"/>
        <v>2.2753854326426473E-2</v>
      </c>
      <c r="BY69" s="330">
        <f t="shared" ca="1" si="189"/>
        <v>2.2953682165150018E-2</v>
      </c>
      <c r="BZ69" s="330">
        <f t="shared" ca="1" si="189"/>
        <v>2.2924452294004267E-2</v>
      </c>
      <c r="CA69" s="330">
        <f t="shared" ca="1" si="189"/>
        <v>2.281086701284931E-2</v>
      </c>
      <c r="CB69" s="330">
        <f t="shared" ca="1" si="189"/>
        <v>2.4130838339815049E-2</v>
      </c>
      <c r="CC69" s="330">
        <f t="shared" ca="1" si="189"/>
        <v>2.4848485033932603E-2</v>
      </c>
      <c r="CD69" s="330">
        <f t="shared" ca="1" si="189"/>
        <v>2.5203729482095302E-2</v>
      </c>
      <c r="CE69" s="330">
        <f t="shared" ca="1" si="189"/>
        <v>2.5376276811584397E-2</v>
      </c>
      <c r="CF69" s="330">
        <f t="shared" ca="1" si="189"/>
        <v>2.6372549544826453E-2</v>
      </c>
      <c r="CG69" s="330">
        <f t="shared" ca="1" si="189"/>
        <v>2.6346320579910581E-2</v>
      </c>
      <c r="CH69" s="330">
        <f t="shared" ca="1" si="189"/>
        <v>2.6361772865410509E-2</v>
      </c>
      <c r="CI69" s="330">
        <f t="shared" ca="1" si="189"/>
        <v>2.607432896692374E-2</v>
      </c>
      <c r="CJ69" s="330">
        <f t="shared" ref="CJ69:CM69" ca="1" si="194">(+CJ47/CJ131)*4</f>
        <v>2.7577475752253749E-2</v>
      </c>
      <c r="CK69" s="330">
        <f t="shared" ca="1" si="194"/>
        <v>2.7981504894268358E-2</v>
      </c>
      <c r="CL69" s="330">
        <f t="shared" ca="1" si="194"/>
        <v>2.8206356261498845E-2</v>
      </c>
      <c r="CM69" s="330">
        <f t="shared" ca="1" si="194"/>
        <v>2.7880941268792082E-2</v>
      </c>
      <c r="CN69" s="330">
        <f t="shared" ref="CN69:CQ69" ca="1" si="195">(+CN47/CN131)*4</f>
        <v>2.9325115250788458E-2</v>
      </c>
      <c r="CO69" s="330">
        <f t="shared" ca="1" si="195"/>
        <v>2.9647762952390466E-2</v>
      </c>
      <c r="CP69" s="330">
        <f t="shared" ca="1" si="195"/>
        <v>2.9687240418254532E-2</v>
      </c>
      <c r="CQ69" s="330">
        <f t="shared" ca="1" si="195"/>
        <v>2.9379151148992123E-2</v>
      </c>
    </row>
    <row r="70" spans="1:95" s="325" customFormat="1" ht="11.25" customHeight="1">
      <c r="A70" s="365" t="s">
        <v>343</v>
      </c>
      <c r="B70" s="385"/>
      <c r="C70" s="385" t="e">
        <f t="shared" ref="C70:S70" si="196">+C20/C127</f>
        <v>#DIV/0!</v>
      </c>
      <c r="D70" s="385" t="e">
        <f t="shared" si="196"/>
        <v>#DIV/0!</v>
      </c>
      <c r="E70" s="385" t="e">
        <f t="shared" si="196"/>
        <v>#DIV/0!</v>
      </c>
      <c r="F70" s="385" t="e">
        <f t="shared" si="196"/>
        <v>#DIV/0!</v>
      </c>
      <c r="G70" s="385" t="e">
        <f t="shared" si="196"/>
        <v>#DIV/0!</v>
      </c>
      <c r="H70" s="385" t="e">
        <f t="shared" si="196"/>
        <v>#DIV/0!</v>
      </c>
      <c r="I70" s="385">
        <f t="shared" si="196"/>
        <v>4.7578014002783602E-2</v>
      </c>
      <c r="J70" s="385">
        <f t="shared" si="196"/>
        <v>4.6694851756435785E-2</v>
      </c>
      <c r="K70" s="385">
        <f>+K20/K127</f>
        <v>4.9096712865140231E-2</v>
      </c>
      <c r="L70" s="385">
        <f t="shared" si="196"/>
        <v>5.0670440891572494E-2</v>
      </c>
      <c r="M70" s="385">
        <f t="shared" si="196"/>
        <v>5.1147111449056065E-2</v>
      </c>
      <c r="N70" s="385">
        <f t="shared" si="196"/>
        <v>5.7468548346110274E-2</v>
      </c>
      <c r="O70" s="385">
        <f t="shared" si="196"/>
        <v>5.6521368269113699E-2</v>
      </c>
      <c r="P70" s="384">
        <f t="shared" ca="1" si="196"/>
        <v>5.5025810205903511E-2</v>
      </c>
      <c r="Q70" s="384">
        <f t="shared" ca="1" si="196"/>
        <v>5.552100892699538E-2</v>
      </c>
      <c r="R70" s="384">
        <f t="shared" ca="1" si="196"/>
        <v>5.6298104775519248E-2</v>
      </c>
      <c r="S70" s="384">
        <f t="shared" ca="1" si="196"/>
        <v>5.6896192818428892E-2</v>
      </c>
      <c r="T70" s="384">
        <f t="shared" ref="T70:U70" ca="1" si="197">+T20/T127</f>
        <v>5.7855283122968684E-2</v>
      </c>
      <c r="U70" s="384">
        <f t="shared" ca="1" si="197"/>
        <v>5.8691096128473404E-2</v>
      </c>
      <c r="V70" s="323"/>
      <c r="W70" s="365" t="s">
        <v>342</v>
      </c>
      <c r="X70" s="385"/>
      <c r="Y70" s="385" t="e">
        <f t="shared" ref="Y70:BD70" si="198">(+Y20/Y127)*4</f>
        <v>#DIV/0!</v>
      </c>
      <c r="Z70" s="385" t="e">
        <f t="shared" si="198"/>
        <v>#DIV/0!</v>
      </c>
      <c r="AA70" s="385" t="e">
        <f t="shared" si="198"/>
        <v>#DIV/0!</v>
      </c>
      <c r="AB70" s="385" t="e">
        <f t="shared" si="198"/>
        <v>#DIV/0!</v>
      </c>
      <c r="AC70" s="385" t="e">
        <f t="shared" si="198"/>
        <v>#DIV/0!</v>
      </c>
      <c r="AD70" s="385" t="e">
        <f t="shared" si="198"/>
        <v>#DIV/0!</v>
      </c>
      <c r="AE70" s="385" t="e">
        <f t="shared" si="198"/>
        <v>#DIV/0!</v>
      </c>
      <c r="AF70" s="385" t="e">
        <f t="shared" si="198"/>
        <v>#DIV/0!</v>
      </c>
      <c r="AG70" s="385" t="e">
        <f t="shared" si="198"/>
        <v>#DIV/0!</v>
      </c>
      <c r="AH70" s="385" t="e">
        <f t="shared" si="198"/>
        <v>#DIV/0!</v>
      </c>
      <c r="AI70" s="385" t="e">
        <f t="shared" si="198"/>
        <v>#DIV/0!</v>
      </c>
      <c r="AJ70" s="385" t="e">
        <f t="shared" si="198"/>
        <v>#DIV/0!</v>
      </c>
      <c r="AK70" s="385" t="e">
        <f t="shared" si="198"/>
        <v>#DIV/0!</v>
      </c>
      <c r="AL70" s="385" t="e">
        <f t="shared" si="198"/>
        <v>#DIV/0!</v>
      </c>
      <c r="AM70" s="385" t="e">
        <f t="shared" si="198"/>
        <v>#DIV/0!</v>
      </c>
      <c r="AN70" s="385" t="e">
        <f t="shared" si="198"/>
        <v>#DIV/0!</v>
      </c>
      <c r="AO70" s="385" t="e">
        <f t="shared" si="198"/>
        <v>#DIV/0!</v>
      </c>
      <c r="AP70" s="385" t="e">
        <f t="shared" si="198"/>
        <v>#DIV/0!</v>
      </c>
      <c r="AQ70" s="385" t="e">
        <f t="shared" si="198"/>
        <v>#DIV/0!</v>
      </c>
      <c r="AR70" s="385">
        <f>(+AR20/AR127)*4</f>
        <v>4.4456775451302721E-2</v>
      </c>
      <c r="AS70" s="385">
        <f t="shared" si="198"/>
        <v>4.8758903400905114E-2</v>
      </c>
      <c r="AT70" s="385">
        <f t="shared" si="198"/>
        <v>4.8767910766191622E-2</v>
      </c>
      <c r="AU70" s="385">
        <f t="shared" si="198"/>
        <v>5.0094176574528373E-2</v>
      </c>
      <c r="AV70" s="385">
        <f t="shared" si="198"/>
        <v>4.8373404127795332E-2</v>
      </c>
      <c r="AW70" s="385">
        <f>(+AW20/AW127)*4</f>
        <v>4.9468949454922244E-2</v>
      </c>
      <c r="AX70" s="385">
        <f t="shared" si="198"/>
        <v>4.7967840609411908E-2</v>
      </c>
      <c r="AY70" s="385">
        <f t="shared" si="198"/>
        <v>4.6023147731723994E-2</v>
      </c>
      <c r="AZ70" s="385">
        <f t="shared" si="198"/>
        <v>4.7637822569731821E-2</v>
      </c>
      <c r="BA70" s="385">
        <f t="shared" si="198"/>
        <v>4.7085565046402496E-2</v>
      </c>
      <c r="BB70" s="385">
        <f t="shared" si="198"/>
        <v>4.9369184516617329E-2</v>
      </c>
      <c r="BC70" s="385">
        <f t="shared" si="198"/>
        <v>5.1232721767109669E-2</v>
      </c>
      <c r="BD70" s="385">
        <f t="shared" si="198"/>
        <v>5.0363928142150016E-2</v>
      </c>
      <c r="BE70" s="385">
        <f t="shared" ref="BE70:CI70" si="199">(+BE20/BE127)*4</f>
        <v>4.9991424831847077E-2</v>
      </c>
      <c r="BF70" s="385">
        <f t="shared" si="199"/>
        <v>5.055438969713881E-2</v>
      </c>
      <c r="BG70" s="386">
        <f t="shared" si="199"/>
        <v>4.9755635252297564E-2</v>
      </c>
      <c r="BH70" s="385">
        <f t="shared" si="199"/>
        <v>4.9177339926506733E-2</v>
      </c>
      <c r="BI70" s="385">
        <f t="shared" ref="BI70" si="200">(+BI20/BI127)*4</f>
        <v>4.9030602477110989E-2</v>
      </c>
      <c r="BJ70" s="385">
        <f t="shared" si="199"/>
        <v>5.1812170891530666E-2</v>
      </c>
      <c r="BK70" s="385">
        <f t="shared" si="199"/>
        <v>5.2346731969823763E-2</v>
      </c>
      <c r="BL70" s="385">
        <f t="shared" ref="BL70" si="201">(+BL20/BL127)*4</f>
        <v>5.2773858515785067E-2</v>
      </c>
      <c r="BM70" s="385">
        <f t="shared" si="199"/>
        <v>5.7708837326384141E-2</v>
      </c>
      <c r="BN70" s="385">
        <f t="shared" ref="BN70:BO70" si="202">(+BN20/BN127)*4</f>
        <v>5.8315415771707242E-2</v>
      </c>
      <c r="BO70" s="385">
        <f t="shared" si="202"/>
        <v>5.7151860629979012E-2</v>
      </c>
      <c r="BP70" s="385">
        <f t="shared" si="199"/>
        <v>5.7832203876931325E-2</v>
      </c>
      <c r="BQ70" s="385">
        <f t="shared" si="199"/>
        <v>5.7430567521939521E-2</v>
      </c>
      <c r="BR70" s="385">
        <f t="shared" ref="BR70:BS70" si="203">(+BR20/BR127)*4</f>
        <v>5.5375114919867199E-2</v>
      </c>
      <c r="BS70" s="385">
        <f t="shared" si="203"/>
        <v>5.5877778701873666E-2</v>
      </c>
      <c r="BT70" s="384">
        <f t="shared" ca="1" si="199"/>
        <v>5.4437653363963667E-2</v>
      </c>
      <c r="BU70" s="384">
        <f t="shared" ca="1" si="199"/>
        <v>5.3962084707184416E-2</v>
      </c>
      <c r="BV70" s="384">
        <f t="shared" ca="1" si="199"/>
        <v>5.4549532631917579E-2</v>
      </c>
      <c r="BW70" s="384">
        <f t="shared" ca="1" si="199"/>
        <v>5.4766063224688667E-2</v>
      </c>
      <c r="BX70" s="384">
        <f t="shared" ca="1" si="199"/>
        <v>5.4811209891035294E-2</v>
      </c>
      <c r="BY70" s="384">
        <f t="shared" ca="1" si="199"/>
        <v>5.4979809365350692E-2</v>
      </c>
      <c r="BZ70" s="384">
        <f t="shared" ca="1" si="199"/>
        <v>5.4917786130789382E-2</v>
      </c>
      <c r="CA70" s="384">
        <f t="shared" ca="1" si="199"/>
        <v>5.5276649283580254E-2</v>
      </c>
      <c r="CB70" s="384">
        <f t="shared" ca="1" si="199"/>
        <v>5.484829467573088E-2</v>
      </c>
      <c r="CC70" s="384">
        <f t="shared" ca="1" si="199"/>
        <v>5.5746128884883839E-2</v>
      </c>
      <c r="CD70" s="384">
        <f t="shared" ca="1" si="199"/>
        <v>5.5988261071780447E-2</v>
      </c>
      <c r="CE70" s="384">
        <f t="shared" ca="1" si="199"/>
        <v>5.6899160289962031E-2</v>
      </c>
      <c r="CF70" s="384">
        <f t="shared" ca="1" si="199"/>
        <v>5.6479423925043223E-2</v>
      </c>
      <c r="CG70" s="384">
        <f t="shared" ca="1" si="199"/>
        <v>5.6455081578275376E-2</v>
      </c>
      <c r="CH70" s="384">
        <f t="shared" ca="1" si="199"/>
        <v>5.6476682213914678E-2</v>
      </c>
      <c r="CI70" s="384">
        <f t="shared" ca="1" si="199"/>
        <v>5.6967414220110521E-2</v>
      </c>
      <c r="CJ70" s="384">
        <f t="shared" ref="CJ70:CM70" ca="1" si="204">(+CJ20/CJ127)*4</f>
        <v>5.7163607436555477E-2</v>
      </c>
      <c r="CK70" s="384">
        <f t="shared" ca="1" si="204"/>
        <v>5.7592599428939677E-2</v>
      </c>
      <c r="CL70" s="384">
        <f t="shared" ca="1" si="204"/>
        <v>5.784919134959076E-2</v>
      </c>
      <c r="CM70" s="384">
        <f t="shared" ca="1" si="204"/>
        <v>5.8282331247889056E-2</v>
      </c>
      <c r="CN70" s="384">
        <f t="shared" ref="CN70:CQ70" ca="1" si="205">(+CN20/CN127)*4</f>
        <v>5.8257819639987947E-2</v>
      </c>
      <c r="CO70" s="384">
        <f t="shared" ca="1" si="205"/>
        <v>5.8628466995234649E-2</v>
      </c>
      <c r="CP70" s="384">
        <f t="shared" ca="1" si="205"/>
        <v>5.8841231390727868E-2</v>
      </c>
      <c r="CQ70" s="384">
        <f t="shared" ca="1" si="205"/>
        <v>5.9219870867078708E-2</v>
      </c>
    </row>
    <row r="71" spans="1:95" s="325" customFormat="1" ht="11.25" customHeight="1">
      <c r="A71" s="329" t="s">
        <v>341</v>
      </c>
      <c r="B71" s="331"/>
      <c r="C71" s="331" t="e">
        <f t="shared" ref="C71:S71" si="206">+C17/C127</f>
        <v>#DIV/0!</v>
      </c>
      <c r="D71" s="331" t="e">
        <f t="shared" si="206"/>
        <v>#DIV/0!</v>
      </c>
      <c r="E71" s="331" t="e">
        <f t="shared" si="206"/>
        <v>#DIV/0!</v>
      </c>
      <c r="F71" s="331" t="e">
        <f t="shared" si="206"/>
        <v>#DIV/0!</v>
      </c>
      <c r="G71" s="331" t="e">
        <f t="shared" si="206"/>
        <v>#DIV/0!</v>
      </c>
      <c r="H71" s="331" t="e">
        <f t="shared" si="206"/>
        <v>#DIV/0!</v>
      </c>
      <c r="I71" s="331">
        <f t="shared" si="206"/>
        <v>6.970149199233612E-2</v>
      </c>
      <c r="J71" s="331">
        <f t="shared" si="206"/>
        <v>6.3932309492754108E-2</v>
      </c>
      <c r="K71" s="331">
        <f t="shared" si="206"/>
        <v>6.9073526017925962E-2</v>
      </c>
      <c r="L71" s="331">
        <f t="shared" si="206"/>
        <v>7.2607055939755499E-2</v>
      </c>
      <c r="M71" s="331">
        <f t="shared" si="206"/>
        <v>7.2364825786907519E-2</v>
      </c>
      <c r="N71" s="331">
        <f t="shared" si="206"/>
        <v>7.6679398141488164E-2</v>
      </c>
      <c r="O71" s="331">
        <f t="shared" si="206"/>
        <v>7.5889947493718843E-2</v>
      </c>
      <c r="P71" s="330">
        <f t="shared" si="206"/>
        <v>8.0901342403896084E-2</v>
      </c>
      <c r="Q71" s="330">
        <f t="shared" si="206"/>
        <v>8.1160754514220293E-2</v>
      </c>
      <c r="R71" s="330">
        <f t="shared" si="206"/>
        <v>8.0404828777961235E-2</v>
      </c>
      <c r="S71" s="330">
        <f t="shared" si="206"/>
        <v>8.0433755235443827E-2</v>
      </c>
      <c r="T71" s="330">
        <f t="shared" ref="T71:U71" si="207">+T17/T127</f>
        <v>8.0609312672949449E-2</v>
      </c>
      <c r="U71" s="330">
        <f t="shared" si="207"/>
        <v>8.0866783955871505E-2</v>
      </c>
      <c r="V71" s="323"/>
      <c r="W71" s="329" t="s">
        <v>341</v>
      </c>
      <c r="X71" s="331"/>
      <c r="Y71" s="331" t="e">
        <f t="shared" ref="Y71:BD71" si="208">(+Y17/Y127)*4</f>
        <v>#DIV/0!</v>
      </c>
      <c r="Z71" s="331" t="e">
        <f t="shared" si="208"/>
        <v>#DIV/0!</v>
      </c>
      <c r="AA71" s="331" t="e">
        <f t="shared" si="208"/>
        <v>#DIV/0!</v>
      </c>
      <c r="AB71" s="331" t="e">
        <f t="shared" si="208"/>
        <v>#DIV/0!</v>
      </c>
      <c r="AC71" s="331" t="e">
        <f t="shared" si="208"/>
        <v>#DIV/0!</v>
      </c>
      <c r="AD71" s="331" t="e">
        <f t="shared" si="208"/>
        <v>#DIV/0!</v>
      </c>
      <c r="AE71" s="331" t="e">
        <f t="shared" si="208"/>
        <v>#DIV/0!</v>
      </c>
      <c r="AF71" s="331" t="e">
        <f t="shared" si="208"/>
        <v>#DIV/0!</v>
      </c>
      <c r="AG71" s="331" t="e">
        <f t="shared" si="208"/>
        <v>#DIV/0!</v>
      </c>
      <c r="AH71" s="331" t="e">
        <f t="shared" si="208"/>
        <v>#DIV/0!</v>
      </c>
      <c r="AI71" s="331" t="e">
        <f t="shared" si="208"/>
        <v>#DIV/0!</v>
      </c>
      <c r="AJ71" s="331" t="e">
        <f t="shared" si="208"/>
        <v>#DIV/0!</v>
      </c>
      <c r="AK71" s="331" t="e">
        <f t="shared" si="208"/>
        <v>#DIV/0!</v>
      </c>
      <c r="AL71" s="331" t="e">
        <f t="shared" si="208"/>
        <v>#DIV/0!</v>
      </c>
      <c r="AM71" s="331" t="e">
        <f t="shared" si="208"/>
        <v>#DIV/0!</v>
      </c>
      <c r="AN71" s="331" t="e">
        <f t="shared" si="208"/>
        <v>#DIV/0!</v>
      </c>
      <c r="AO71" s="331" t="e">
        <f t="shared" si="208"/>
        <v>#DIV/0!</v>
      </c>
      <c r="AP71" s="331" t="e">
        <f t="shared" si="208"/>
        <v>#DIV/0!</v>
      </c>
      <c r="AQ71" s="331" t="e">
        <f t="shared" si="208"/>
        <v>#DIV/0!</v>
      </c>
      <c r="AR71" s="331">
        <f t="shared" si="208"/>
        <v>7.0368210117101621E-2</v>
      </c>
      <c r="AS71" s="331">
        <f t="shared" si="208"/>
        <v>7.1615164147419572E-2</v>
      </c>
      <c r="AT71" s="331">
        <f t="shared" si="208"/>
        <v>6.955700189829972E-2</v>
      </c>
      <c r="AU71" s="331">
        <f t="shared" si="208"/>
        <v>6.9421708360071444E-2</v>
      </c>
      <c r="AV71" s="331">
        <f t="shared" si="208"/>
        <v>6.5540826102966979E-2</v>
      </c>
      <c r="AW71" s="331">
        <f t="shared" si="208"/>
        <v>6.5863289495813146E-2</v>
      </c>
      <c r="AX71" s="331">
        <f t="shared" si="208"/>
        <v>6.6187650394408631E-2</v>
      </c>
      <c r="AY71" s="331">
        <f t="shared" si="208"/>
        <v>6.4726157673544851E-2</v>
      </c>
      <c r="AZ71" s="331">
        <f t="shared" si="208"/>
        <v>6.6215422908313878E-2</v>
      </c>
      <c r="BA71" s="331">
        <f t="shared" si="208"/>
        <v>6.6878206250004082E-2</v>
      </c>
      <c r="BB71" s="331">
        <f t="shared" si="208"/>
        <v>6.9631227918627608E-2</v>
      </c>
      <c r="BC71" s="331">
        <f t="shared" si="208"/>
        <v>7.2066909536935383E-2</v>
      </c>
      <c r="BD71" s="331">
        <f t="shared" si="208"/>
        <v>7.0982894383697454E-2</v>
      </c>
      <c r="BE71" s="331">
        <f t="shared" ref="BE71:CI71" si="209">(+BE17/BE127)*4</f>
        <v>7.1054760101200445E-2</v>
      </c>
      <c r="BF71" s="331">
        <f t="shared" si="209"/>
        <v>7.2871801833574668E-2</v>
      </c>
      <c r="BG71" s="332">
        <f t="shared" si="209"/>
        <v>7.248119379179839E-2</v>
      </c>
      <c r="BH71" s="331">
        <f t="shared" si="209"/>
        <v>7.0380784763658777E-2</v>
      </c>
      <c r="BI71" s="331">
        <f t="shared" ref="BI71" si="210">(+BI17/BI127)*4</f>
        <v>7.0312488158660674E-2</v>
      </c>
      <c r="BJ71" s="331">
        <f t="shared" si="209"/>
        <v>7.3255898360768096E-2</v>
      </c>
      <c r="BK71" s="331">
        <f t="shared" si="209"/>
        <v>7.2442649761853342E-2</v>
      </c>
      <c r="BL71" s="331">
        <f t="shared" ref="BL71" si="211">(+BL17/BL127)*4</f>
        <v>7.0636821875752653E-2</v>
      </c>
      <c r="BM71" s="331">
        <f t="shared" si="209"/>
        <v>7.6852082360060317E-2</v>
      </c>
      <c r="BN71" s="331">
        <f t="shared" ref="BN71:BO71" si="212">(+BN17/BN127)*4</f>
        <v>7.7777773887049206E-2</v>
      </c>
      <c r="BO71" s="331">
        <f t="shared" si="212"/>
        <v>7.6228762578244361E-2</v>
      </c>
      <c r="BP71" s="331">
        <f t="shared" si="209"/>
        <v>7.7003779177515747E-2</v>
      </c>
      <c r="BQ71" s="331">
        <f t="shared" si="209"/>
        <v>7.6821699176510078E-2</v>
      </c>
      <c r="BR71" s="331">
        <f t="shared" ref="BR71:BS71" si="213">(+BR17/BR127)*4</f>
        <v>7.468695092010548E-2</v>
      </c>
      <c r="BS71" s="331">
        <f t="shared" si="213"/>
        <v>7.553114619235575E-2</v>
      </c>
      <c r="BT71" s="330">
        <f t="shared" si="209"/>
        <v>7.7837551418952003E-2</v>
      </c>
      <c r="BU71" s="330">
        <f t="shared" si="209"/>
        <v>7.9283632357709993E-2</v>
      </c>
      <c r="BV71" s="330">
        <f t="shared" si="209"/>
        <v>8.0990168990921291E-2</v>
      </c>
      <c r="BW71" s="330">
        <f t="shared" si="209"/>
        <v>8.1868098575478609E-2</v>
      </c>
      <c r="BX71" s="330">
        <f t="shared" si="209"/>
        <v>8.123408037959981E-2</v>
      </c>
      <c r="BY71" s="330">
        <f t="shared" si="209"/>
        <v>8.028723874825508E-2</v>
      </c>
      <c r="BZ71" s="330">
        <f t="shared" si="209"/>
        <v>8.0127488020518375E-2</v>
      </c>
      <c r="CA71" s="330">
        <f t="shared" si="209"/>
        <v>7.9992678547186211E-2</v>
      </c>
      <c r="CB71" s="330">
        <f t="shared" si="209"/>
        <v>7.9379459366585289E-2</v>
      </c>
      <c r="CC71" s="330">
        <f t="shared" si="209"/>
        <v>7.9875958571375347E-2</v>
      </c>
      <c r="CD71" s="330">
        <f t="shared" si="209"/>
        <v>7.9794566585414547E-2</v>
      </c>
      <c r="CE71" s="330">
        <f t="shared" si="209"/>
        <v>8.0201534701892535E-2</v>
      </c>
      <c r="CF71" s="330">
        <f t="shared" si="209"/>
        <v>8.0017575165237609E-2</v>
      </c>
      <c r="CG71" s="330">
        <f t="shared" si="209"/>
        <v>8.0027414722745632E-2</v>
      </c>
      <c r="CH71" s="330">
        <f t="shared" si="209"/>
        <v>7.9917596994740089E-2</v>
      </c>
      <c r="CI71" s="330">
        <f t="shared" si="209"/>
        <v>8.0090320187925501E-2</v>
      </c>
      <c r="CJ71" s="330">
        <f t="shared" ref="CJ71:CM71" si="214">(+CJ17/CJ127)*4</f>
        <v>8.0141829658419761E-2</v>
      </c>
      <c r="CK71" s="330">
        <f t="shared" si="214"/>
        <v>8.0398759828691421E-2</v>
      </c>
      <c r="CL71" s="330">
        <f t="shared" si="214"/>
        <v>8.0523385865664862E-2</v>
      </c>
      <c r="CM71" s="330">
        <f t="shared" si="214"/>
        <v>8.0670122159197291E-2</v>
      </c>
      <c r="CN71" s="330">
        <f t="shared" ref="CN71:CQ71" si="215">(+CN17/CN127)*4</f>
        <v>8.0693057314987743E-2</v>
      </c>
      <c r="CO71" s="330">
        <f t="shared" si="215"/>
        <v>8.0922579793491892E-2</v>
      </c>
      <c r="CP71" s="330">
        <f t="shared" si="215"/>
        <v>8.1014876075990033E-2</v>
      </c>
      <c r="CQ71" s="330">
        <f t="shared" si="215"/>
        <v>8.1125381415684095E-2</v>
      </c>
    </row>
    <row r="72" spans="1:95" s="325" customFormat="1" ht="11.25" customHeight="1">
      <c r="A72" s="329" t="s">
        <v>340</v>
      </c>
      <c r="B72" s="331"/>
      <c r="C72" s="331" t="e">
        <f t="shared" ref="C72:S72" si="216">-C18/C129</f>
        <v>#DIV/0!</v>
      </c>
      <c r="D72" s="331" t="e">
        <f t="shared" si="216"/>
        <v>#DIV/0!</v>
      </c>
      <c r="E72" s="331" t="e">
        <f t="shared" si="216"/>
        <v>#DIV/0!</v>
      </c>
      <c r="F72" s="331" t="e">
        <f t="shared" si="216"/>
        <v>#DIV/0!</v>
      </c>
      <c r="G72" s="331" t="e">
        <f t="shared" si="216"/>
        <v>#DIV/0!</v>
      </c>
      <c r="H72" s="331" t="e">
        <f t="shared" si="216"/>
        <v>#DIV/0!</v>
      </c>
      <c r="I72" s="331">
        <f t="shared" si="216"/>
        <v>6.0357995881989132E-2</v>
      </c>
      <c r="J72" s="331">
        <f t="shared" si="216"/>
        <v>2.315987261266652E-2</v>
      </c>
      <c r="K72" s="331">
        <f t="shared" si="216"/>
        <v>2.7436939469391155E-2</v>
      </c>
      <c r="L72" s="331">
        <f t="shared" si="216"/>
        <v>3.0887430586125232E-2</v>
      </c>
      <c r="M72" s="331">
        <f t="shared" si="216"/>
        <v>2.9371335535673788E-2</v>
      </c>
      <c r="N72" s="331">
        <f t="shared" si="216"/>
        <v>2.6390994973519977E-2</v>
      </c>
      <c r="O72" s="331">
        <f t="shared" si="216"/>
        <v>2.6954893893376172E-2</v>
      </c>
      <c r="P72" s="330">
        <f t="shared" ca="1" si="216"/>
        <v>3.5355185655126825E-2</v>
      </c>
      <c r="Q72" s="330">
        <f t="shared" ca="1" si="216"/>
        <v>3.4281965846457083E-2</v>
      </c>
      <c r="R72" s="330">
        <f t="shared" ca="1" si="216"/>
        <v>3.2540938721552094E-2</v>
      </c>
      <c r="S72" s="330">
        <f t="shared" ca="1" si="216"/>
        <v>3.2146334548909444E-2</v>
      </c>
      <c r="T72" s="330">
        <f t="shared" ref="T72:U72" ca="1" si="217">-T18/T129</f>
        <v>3.1404209240224197E-2</v>
      </c>
      <c r="U72" s="330">
        <f t="shared" ca="1" si="217"/>
        <v>3.0865994732018166E-2</v>
      </c>
      <c r="V72" s="323"/>
      <c r="W72" s="329" t="s">
        <v>340</v>
      </c>
      <c r="X72" s="331"/>
      <c r="Y72" s="331" t="e">
        <f t="shared" ref="Y72:BD72" si="218">(-Y18/Y129)*4</f>
        <v>#DIV/0!</v>
      </c>
      <c r="Z72" s="331" t="e">
        <f t="shared" si="218"/>
        <v>#DIV/0!</v>
      </c>
      <c r="AA72" s="331" t="e">
        <f t="shared" si="218"/>
        <v>#DIV/0!</v>
      </c>
      <c r="AB72" s="331" t="e">
        <f t="shared" si="218"/>
        <v>#DIV/0!</v>
      </c>
      <c r="AC72" s="331" t="e">
        <f t="shared" si="218"/>
        <v>#DIV/0!</v>
      </c>
      <c r="AD72" s="331" t="e">
        <f t="shared" si="218"/>
        <v>#DIV/0!</v>
      </c>
      <c r="AE72" s="331" t="e">
        <f t="shared" si="218"/>
        <v>#DIV/0!</v>
      </c>
      <c r="AF72" s="331" t="e">
        <f t="shared" si="218"/>
        <v>#DIV/0!</v>
      </c>
      <c r="AG72" s="331" t="e">
        <f t="shared" si="218"/>
        <v>#DIV/0!</v>
      </c>
      <c r="AH72" s="331" t="e">
        <f t="shared" si="218"/>
        <v>#DIV/0!</v>
      </c>
      <c r="AI72" s="331" t="e">
        <f t="shared" si="218"/>
        <v>#DIV/0!</v>
      </c>
      <c r="AJ72" s="331" t="e">
        <f t="shared" si="218"/>
        <v>#DIV/0!</v>
      </c>
      <c r="AK72" s="331" t="e">
        <f t="shared" si="218"/>
        <v>#DIV/0!</v>
      </c>
      <c r="AL72" s="331" t="e">
        <f t="shared" si="218"/>
        <v>#DIV/0!</v>
      </c>
      <c r="AM72" s="331" t="e">
        <f t="shared" si="218"/>
        <v>#DIV/0!</v>
      </c>
      <c r="AN72" s="331" t="e">
        <f t="shared" si="218"/>
        <v>#DIV/0!</v>
      </c>
      <c r="AO72" s="331" t="e">
        <f t="shared" si="218"/>
        <v>#DIV/0!</v>
      </c>
      <c r="AP72" s="331" t="e">
        <f t="shared" si="218"/>
        <v>#DIV/0!</v>
      </c>
      <c r="AQ72" s="331" t="e">
        <f t="shared" si="218"/>
        <v>#DIV/0!</v>
      </c>
      <c r="AR72" s="331">
        <f t="shared" si="218"/>
        <v>7.4886271843472907E-2</v>
      </c>
      <c r="AS72" s="331">
        <f t="shared" si="218"/>
        <v>3.3132011827168122E-2</v>
      </c>
      <c r="AT72" s="331">
        <f t="shared" si="218"/>
        <v>2.9914811660709861E-2</v>
      </c>
      <c r="AU72" s="331">
        <f t="shared" si="218"/>
        <v>2.6901703957089389E-2</v>
      </c>
      <c r="AV72" s="331">
        <f t="shared" si="218"/>
        <v>2.3618267735724972E-2</v>
      </c>
      <c r="AW72" s="331">
        <f t="shared" si="218"/>
        <v>2.2899659059742044E-2</v>
      </c>
      <c r="AX72" s="331">
        <f t="shared" si="218"/>
        <v>2.5339881147928189E-2</v>
      </c>
      <c r="AY72" s="331">
        <f t="shared" si="218"/>
        <v>2.5271031204521933E-2</v>
      </c>
      <c r="AZ72" s="331">
        <f t="shared" si="218"/>
        <v>2.5137406130220301E-2</v>
      </c>
      <c r="BA72" s="331">
        <f t="shared" si="218"/>
        <v>2.735397331594679E-2</v>
      </c>
      <c r="BB72" s="331">
        <f t="shared" si="218"/>
        <v>2.8294017286796824E-2</v>
      </c>
      <c r="BC72" s="331">
        <f t="shared" si="218"/>
        <v>2.9447213108481436E-2</v>
      </c>
      <c r="BD72" s="331">
        <f t="shared" si="218"/>
        <v>2.933386595698725E-2</v>
      </c>
      <c r="BE72" s="331">
        <f t="shared" ref="BE72:CI72" si="219">(-BE18/BE129)*4</f>
        <v>2.9847025976170831E-2</v>
      </c>
      <c r="BF72" s="331">
        <f t="shared" si="219"/>
        <v>3.1355760201353985E-2</v>
      </c>
      <c r="BG72" s="332">
        <f t="shared" si="219"/>
        <v>3.1811317336795132E-2</v>
      </c>
      <c r="BH72" s="331">
        <f t="shared" si="219"/>
        <v>2.9458510987116149E-2</v>
      </c>
      <c r="BI72" s="331">
        <f t="shared" ref="BI72" si="220">(-BI18/BI129)*4</f>
        <v>2.8973697519503721E-2</v>
      </c>
      <c r="BJ72" s="331">
        <f t="shared" si="219"/>
        <v>2.907629418540475E-2</v>
      </c>
      <c r="BK72" s="331">
        <f t="shared" si="219"/>
        <v>2.7537733937101596E-2</v>
      </c>
      <c r="BL72" s="331">
        <f t="shared" ref="BL72" si="221">(-BL18/BL129)*4</f>
        <v>2.4418466027158775E-2</v>
      </c>
      <c r="BM72" s="331">
        <f t="shared" si="219"/>
        <v>2.6105331933677232E-2</v>
      </c>
      <c r="BN72" s="331">
        <f t="shared" ref="BN72:BO72" si="222">(-BN18/BN129)*4</f>
        <v>2.6504596638415465E-2</v>
      </c>
      <c r="BO72" s="331">
        <f t="shared" si="222"/>
        <v>2.6086893433036953E-2</v>
      </c>
      <c r="BP72" s="331">
        <f t="shared" si="219"/>
        <v>2.6413413790944366E-2</v>
      </c>
      <c r="BQ72" s="331">
        <f t="shared" si="219"/>
        <v>2.7056223993089226E-2</v>
      </c>
      <c r="BR72" s="331">
        <f t="shared" ref="BR72:BS72" si="223">(-BR18/BR129)*4</f>
        <v>2.69658283968029E-2</v>
      </c>
      <c r="BS72" s="331">
        <f t="shared" si="223"/>
        <v>2.7406350674477612E-2</v>
      </c>
      <c r="BT72" s="330">
        <f t="shared" ca="1" si="219"/>
        <v>3.1580482771837108E-2</v>
      </c>
      <c r="BU72" s="330">
        <f t="shared" ca="1" si="219"/>
        <v>3.3180647884729512E-2</v>
      </c>
      <c r="BV72" s="330">
        <f t="shared" ca="1" si="219"/>
        <v>3.4834808195520421E-2</v>
      </c>
      <c r="BW72" s="330">
        <f t="shared" ca="1" si="219"/>
        <v>3.5859477692906212E-2</v>
      </c>
      <c r="BX72" s="330">
        <f t="shared" ca="1" si="219"/>
        <v>3.497244645960957E-2</v>
      </c>
      <c r="BY72" s="330">
        <f t="shared" ca="1" si="219"/>
        <v>3.3483013381764209E-2</v>
      </c>
      <c r="BZ72" s="330">
        <f t="shared" ca="1" si="219"/>
        <v>3.3469834764086132E-2</v>
      </c>
      <c r="CA72" s="330">
        <f t="shared" ca="1" si="219"/>
        <v>3.2949714249635935E-2</v>
      </c>
      <c r="CB72" s="330">
        <f t="shared" ca="1" si="219"/>
        <v>3.2739337741365504E-2</v>
      </c>
      <c r="CC72" s="330">
        <f t="shared" ca="1" si="219"/>
        <v>3.2224413039959085E-2</v>
      </c>
      <c r="CD72" s="330">
        <f t="shared" ca="1" si="219"/>
        <v>3.1946824334233223E-2</v>
      </c>
      <c r="CE72" s="330">
        <f t="shared" ca="1" si="219"/>
        <v>3.1439712649539348E-2</v>
      </c>
      <c r="CF72" s="330">
        <f t="shared" ca="1" si="219"/>
        <v>3.180416777331882E-2</v>
      </c>
      <c r="CG72" s="330">
        <f t="shared" ca="1" si="219"/>
        <v>3.1868859081058645E-2</v>
      </c>
      <c r="CH72" s="330">
        <f t="shared" ca="1" si="219"/>
        <v>3.1853303091686595E-2</v>
      </c>
      <c r="CI72" s="330">
        <f t="shared" ca="1" si="219"/>
        <v>3.1589049080307102E-2</v>
      </c>
      <c r="CJ72" s="330">
        <f t="shared" ref="CJ72:CM72" ca="1" si="224">(-CJ18/CJ129)*4</f>
        <v>3.1426109667478178E-2</v>
      </c>
      <c r="CK72" s="330">
        <f t="shared" ca="1" si="224"/>
        <v>3.1196331658696924E-2</v>
      </c>
      <c r="CL72" s="330">
        <f t="shared" ca="1" si="224"/>
        <v>3.1176362845540644E-2</v>
      </c>
      <c r="CM72" s="330">
        <f t="shared" ca="1" si="224"/>
        <v>3.0926934202254092E-2</v>
      </c>
      <c r="CN72" s="330">
        <f t="shared" ref="CN72:CQ72" ca="1" si="225">(-CN18/CN129)*4</f>
        <v>3.1006955443248142E-2</v>
      </c>
      <c r="CO72" s="330">
        <f t="shared" ca="1" si="225"/>
        <v>3.0795171860398634E-2</v>
      </c>
      <c r="CP72" s="330">
        <f t="shared" ca="1" si="225"/>
        <v>3.0775281093504275E-2</v>
      </c>
      <c r="CQ72" s="330">
        <f t="shared" ca="1" si="225"/>
        <v>3.0536156850882606E-2</v>
      </c>
    </row>
    <row r="73" spans="1:95" s="377" customFormat="1" ht="11.25" customHeight="1">
      <c r="A73" s="383" t="s">
        <v>339</v>
      </c>
      <c r="B73" s="379"/>
      <c r="C73" s="379" t="e">
        <f t="shared" ref="C73:S73" si="226">+C71-C72</f>
        <v>#DIV/0!</v>
      </c>
      <c r="D73" s="379" t="e">
        <f t="shared" si="226"/>
        <v>#DIV/0!</v>
      </c>
      <c r="E73" s="379" t="e">
        <f t="shared" si="226"/>
        <v>#DIV/0!</v>
      </c>
      <c r="F73" s="379" t="e">
        <f t="shared" si="226"/>
        <v>#DIV/0!</v>
      </c>
      <c r="G73" s="379" t="e">
        <f t="shared" si="226"/>
        <v>#DIV/0!</v>
      </c>
      <c r="H73" s="379" t="e">
        <f t="shared" si="226"/>
        <v>#DIV/0!</v>
      </c>
      <c r="I73" s="379">
        <f t="shared" si="226"/>
        <v>9.3434961103469882E-3</v>
      </c>
      <c r="J73" s="379">
        <f t="shared" si="226"/>
        <v>4.0772436880087588E-2</v>
      </c>
      <c r="K73" s="379">
        <f t="shared" si="226"/>
        <v>4.1636586548534804E-2</v>
      </c>
      <c r="L73" s="379">
        <f t="shared" si="226"/>
        <v>4.1719625353630267E-2</v>
      </c>
      <c r="M73" s="379">
        <f t="shared" si="226"/>
        <v>4.2993490251233731E-2</v>
      </c>
      <c r="N73" s="379">
        <f t="shared" si="226"/>
        <v>5.028840316796819E-2</v>
      </c>
      <c r="O73" s="379">
        <f t="shared" si="226"/>
        <v>4.8935053600342671E-2</v>
      </c>
      <c r="P73" s="378">
        <f t="shared" ca="1" si="226"/>
        <v>4.5546156748769259E-2</v>
      </c>
      <c r="Q73" s="378">
        <f t="shared" ca="1" si="226"/>
        <v>4.687878866776321E-2</v>
      </c>
      <c r="R73" s="378">
        <f t="shared" ca="1" si="226"/>
        <v>4.786389005640914E-2</v>
      </c>
      <c r="S73" s="378">
        <f t="shared" ca="1" si="226"/>
        <v>4.8287420686534382E-2</v>
      </c>
      <c r="T73" s="378">
        <f t="shared" ref="T73:U73" ca="1" si="227">+T71-T72</f>
        <v>4.9205103432725251E-2</v>
      </c>
      <c r="U73" s="378">
        <f t="shared" ca="1" si="227"/>
        <v>5.0000789223853342E-2</v>
      </c>
      <c r="V73" s="382"/>
      <c r="W73" s="381" t="s">
        <v>339</v>
      </c>
      <c r="X73" s="379"/>
      <c r="Y73" s="379" t="e">
        <f t="shared" ref="Y73:BD73" si="228">+Y71-Y72</f>
        <v>#DIV/0!</v>
      </c>
      <c r="Z73" s="379" t="e">
        <f t="shared" si="228"/>
        <v>#DIV/0!</v>
      </c>
      <c r="AA73" s="379" t="e">
        <f t="shared" si="228"/>
        <v>#DIV/0!</v>
      </c>
      <c r="AB73" s="379" t="e">
        <f t="shared" si="228"/>
        <v>#DIV/0!</v>
      </c>
      <c r="AC73" s="379" t="e">
        <f t="shared" si="228"/>
        <v>#DIV/0!</v>
      </c>
      <c r="AD73" s="379" t="e">
        <f t="shared" si="228"/>
        <v>#DIV/0!</v>
      </c>
      <c r="AE73" s="379" t="e">
        <f t="shared" si="228"/>
        <v>#DIV/0!</v>
      </c>
      <c r="AF73" s="379" t="e">
        <f t="shared" si="228"/>
        <v>#DIV/0!</v>
      </c>
      <c r="AG73" s="379" t="e">
        <f t="shared" si="228"/>
        <v>#DIV/0!</v>
      </c>
      <c r="AH73" s="379" t="e">
        <f t="shared" si="228"/>
        <v>#DIV/0!</v>
      </c>
      <c r="AI73" s="379" t="e">
        <f t="shared" si="228"/>
        <v>#DIV/0!</v>
      </c>
      <c r="AJ73" s="379" t="e">
        <f t="shared" si="228"/>
        <v>#DIV/0!</v>
      </c>
      <c r="AK73" s="379" t="e">
        <f t="shared" si="228"/>
        <v>#DIV/0!</v>
      </c>
      <c r="AL73" s="379" t="e">
        <f t="shared" si="228"/>
        <v>#DIV/0!</v>
      </c>
      <c r="AM73" s="379" t="e">
        <f t="shared" si="228"/>
        <v>#DIV/0!</v>
      </c>
      <c r="AN73" s="379" t="e">
        <f t="shared" si="228"/>
        <v>#DIV/0!</v>
      </c>
      <c r="AO73" s="379" t="e">
        <f t="shared" si="228"/>
        <v>#DIV/0!</v>
      </c>
      <c r="AP73" s="379" t="e">
        <f t="shared" si="228"/>
        <v>#DIV/0!</v>
      </c>
      <c r="AQ73" s="379" t="e">
        <f t="shared" si="228"/>
        <v>#DIV/0!</v>
      </c>
      <c r="AR73" s="379">
        <f t="shared" si="228"/>
        <v>-4.5180617263712863E-3</v>
      </c>
      <c r="AS73" s="379">
        <f t="shared" si="228"/>
        <v>3.848315232025145E-2</v>
      </c>
      <c r="AT73" s="379">
        <f t="shared" si="228"/>
        <v>3.9642190237589858E-2</v>
      </c>
      <c r="AU73" s="379">
        <f t="shared" si="228"/>
        <v>4.2520004402982051E-2</v>
      </c>
      <c r="AV73" s="379">
        <f t="shared" si="228"/>
        <v>4.1922558367242006E-2</v>
      </c>
      <c r="AW73" s="379">
        <f t="shared" si="228"/>
        <v>4.2963630436071099E-2</v>
      </c>
      <c r="AX73" s="379">
        <f t="shared" si="228"/>
        <v>4.0847769246480439E-2</v>
      </c>
      <c r="AY73" s="379">
        <f t="shared" si="228"/>
        <v>3.9455126469022918E-2</v>
      </c>
      <c r="AZ73" s="379">
        <f t="shared" si="228"/>
        <v>4.1078016778093578E-2</v>
      </c>
      <c r="BA73" s="379">
        <f t="shared" si="228"/>
        <v>3.9524232934057296E-2</v>
      </c>
      <c r="BB73" s="379">
        <f t="shared" si="228"/>
        <v>4.1337210631830781E-2</v>
      </c>
      <c r="BC73" s="379">
        <f t="shared" si="228"/>
        <v>4.2619696428453951E-2</v>
      </c>
      <c r="BD73" s="379">
        <f t="shared" si="228"/>
        <v>4.16490284267102E-2</v>
      </c>
      <c r="BE73" s="379">
        <f t="shared" ref="BE73:CI73" si="229">+BE71-BE72</f>
        <v>4.1207734125029614E-2</v>
      </c>
      <c r="BF73" s="379">
        <f t="shared" si="229"/>
        <v>4.1516041632220682E-2</v>
      </c>
      <c r="BG73" s="380">
        <f t="shared" si="229"/>
        <v>4.0669876455003258E-2</v>
      </c>
      <c r="BH73" s="379">
        <f t="shared" si="229"/>
        <v>4.0922273776542631E-2</v>
      </c>
      <c r="BI73" s="379">
        <f t="shared" ref="BI73" si="230">+BI71-BI72</f>
        <v>4.133879063915695E-2</v>
      </c>
      <c r="BJ73" s="379">
        <f t="shared" si="229"/>
        <v>4.4179604175363346E-2</v>
      </c>
      <c r="BK73" s="379">
        <f t="shared" si="229"/>
        <v>4.4904915824751743E-2</v>
      </c>
      <c r="BL73" s="379">
        <f t="shared" ref="BL73" si="231">+BL71-BL72</f>
        <v>4.6218355848593878E-2</v>
      </c>
      <c r="BM73" s="379">
        <f t="shared" si="229"/>
        <v>5.0746750426383089E-2</v>
      </c>
      <c r="BN73" s="379">
        <f t="shared" ref="BN73:BO73" si="232">+BN71-BN72</f>
        <v>5.1273177248633742E-2</v>
      </c>
      <c r="BO73" s="379">
        <f t="shared" si="232"/>
        <v>5.0141869145207407E-2</v>
      </c>
      <c r="BP73" s="379">
        <f t="shared" si="229"/>
        <v>5.0590365386571384E-2</v>
      </c>
      <c r="BQ73" s="379">
        <f t="shared" si="229"/>
        <v>4.9765475183420851E-2</v>
      </c>
      <c r="BR73" s="379">
        <f t="shared" ref="BR73:BS73" si="233">+BR71-BR72</f>
        <v>4.772112252330258E-2</v>
      </c>
      <c r="BS73" s="379">
        <f t="shared" si="233"/>
        <v>4.8124795517878141E-2</v>
      </c>
      <c r="BT73" s="378">
        <f t="shared" ca="1" si="229"/>
        <v>4.6257068647114895E-2</v>
      </c>
      <c r="BU73" s="378">
        <f t="shared" ca="1" si="229"/>
        <v>4.6102984472980481E-2</v>
      </c>
      <c r="BV73" s="378">
        <f t="shared" ca="1" si="229"/>
        <v>4.615536079540087E-2</v>
      </c>
      <c r="BW73" s="378">
        <f t="shared" ca="1" si="229"/>
        <v>4.6008620882572397E-2</v>
      </c>
      <c r="BX73" s="378">
        <f t="shared" ca="1" si="229"/>
        <v>4.626163391999024E-2</v>
      </c>
      <c r="BY73" s="378">
        <f t="shared" ca="1" si="229"/>
        <v>4.680422536649087E-2</v>
      </c>
      <c r="BZ73" s="378">
        <f t="shared" ca="1" si="229"/>
        <v>4.6657653256432244E-2</v>
      </c>
      <c r="CA73" s="378">
        <f t="shared" ca="1" si="229"/>
        <v>4.7042964297550276E-2</v>
      </c>
      <c r="CB73" s="378">
        <f t="shared" ca="1" si="229"/>
        <v>4.6640121625219785E-2</v>
      </c>
      <c r="CC73" s="378">
        <f t="shared" ca="1" si="229"/>
        <v>4.7651545531416262E-2</v>
      </c>
      <c r="CD73" s="378">
        <f t="shared" ca="1" si="229"/>
        <v>4.7847742251181324E-2</v>
      </c>
      <c r="CE73" s="378">
        <f t="shared" ca="1" si="229"/>
        <v>4.8761822052353188E-2</v>
      </c>
      <c r="CF73" s="378">
        <f t="shared" ca="1" si="229"/>
        <v>4.8213407391918789E-2</v>
      </c>
      <c r="CG73" s="378">
        <f t="shared" ca="1" si="229"/>
        <v>4.8158555641686987E-2</v>
      </c>
      <c r="CH73" s="378">
        <f t="shared" ca="1" si="229"/>
        <v>4.8064293903053494E-2</v>
      </c>
      <c r="CI73" s="378">
        <f t="shared" ca="1" si="229"/>
        <v>4.8501271107618399E-2</v>
      </c>
      <c r="CJ73" s="378">
        <f t="shared" ref="CJ73:CM73" ca="1" si="234">+CJ71-CJ72</f>
        <v>4.8715719990941583E-2</v>
      </c>
      <c r="CK73" s="378">
        <f t="shared" ca="1" si="234"/>
        <v>4.9202428169994497E-2</v>
      </c>
      <c r="CL73" s="378">
        <f t="shared" ca="1" si="234"/>
        <v>4.9347023020124219E-2</v>
      </c>
      <c r="CM73" s="378">
        <f t="shared" ca="1" si="234"/>
        <v>4.97431879569432E-2</v>
      </c>
      <c r="CN73" s="378">
        <f t="shared" ref="CN73:CQ73" ca="1" si="235">+CN71-CN72</f>
        <v>4.9686101871739601E-2</v>
      </c>
      <c r="CO73" s="378">
        <f t="shared" ca="1" si="235"/>
        <v>5.0127407933093254E-2</v>
      </c>
      <c r="CP73" s="378">
        <f t="shared" ca="1" si="235"/>
        <v>5.0239594982485758E-2</v>
      </c>
      <c r="CQ73" s="378">
        <f t="shared" ca="1" si="235"/>
        <v>5.0589224564801485E-2</v>
      </c>
    </row>
    <row r="74" spans="1:95" s="325" customFormat="1" ht="11.25" customHeight="1">
      <c r="A74" s="329" t="s">
        <v>338</v>
      </c>
      <c r="B74" s="331"/>
      <c r="C74" s="331" t="e">
        <f t="shared" ref="C74:S74" si="236">C26/C131</f>
        <v>#DIV/0!</v>
      </c>
      <c r="D74" s="331" t="e">
        <f t="shared" si="236"/>
        <v>#DIV/0!</v>
      </c>
      <c r="E74" s="331" t="e">
        <f t="shared" si="236"/>
        <v>#DIV/0!</v>
      </c>
      <c r="F74" s="331" t="e">
        <f t="shared" si="236"/>
        <v>#DIV/0!</v>
      </c>
      <c r="G74" s="331" t="e">
        <f t="shared" si="236"/>
        <v>#DIV/0!</v>
      </c>
      <c r="H74" s="331" t="e">
        <f t="shared" si="236"/>
        <v>#DIV/0!</v>
      </c>
      <c r="I74" s="331">
        <f t="shared" si="236"/>
        <v>4.090277497918348E-2</v>
      </c>
      <c r="J74" s="331">
        <f t="shared" si="236"/>
        <v>2.060510154579721E-2</v>
      </c>
      <c r="K74" s="331">
        <f t="shared" si="236"/>
        <v>2.0074023492591103E-2</v>
      </c>
      <c r="L74" s="331">
        <f t="shared" si="236"/>
        <v>2.0603510150721694E-2</v>
      </c>
      <c r="M74" s="331">
        <f t="shared" si="236"/>
        <v>2.0673998220014297E-2</v>
      </c>
      <c r="N74" s="331">
        <f t="shared" si="236"/>
        <v>2.0175053370476984E-2</v>
      </c>
      <c r="O74" s="331">
        <f t="shared" si="236"/>
        <v>1.8163582791764651E-2</v>
      </c>
      <c r="P74" s="330">
        <f t="shared" si="236"/>
        <v>1.7465966144303926E-2</v>
      </c>
      <c r="Q74" s="330">
        <f t="shared" si="236"/>
        <v>1.765952444782341E-2</v>
      </c>
      <c r="R74" s="330">
        <f t="shared" si="236"/>
        <v>1.8587794848160616E-2</v>
      </c>
      <c r="S74" s="330">
        <f t="shared" si="236"/>
        <v>1.9160353506503896E-2</v>
      </c>
      <c r="T74" s="330">
        <f t="shared" ref="T74:U74" si="237">T26/T131</f>
        <v>1.966899679614665E-2</v>
      </c>
      <c r="U74" s="330">
        <f t="shared" si="237"/>
        <v>2.0081886238484292E-2</v>
      </c>
      <c r="V74" s="323"/>
      <c r="W74" s="329" t="s">
        <v>338</v>
      </c>
      <c r="X74" s="331"/>
      <c r="Y74" s="331" t="e">
        <f t="shared" ref="Y74:BD74" si="238">(Y26/Y131)*4</f>
        <v>#DIV/0!</v>
      </c>
      <c r="Z74" s="331" t="e">
        <f t="shared" si="238"/>
        <v>#DIV/0!</v>
      </c>
      <c r="AA74" s="331" t="e">
        <f t="shared" si="238"/>
        <v>#DIV/0!</v>
      </c>
      <c r="AB74" s="331" t="e">
        <f t="shared" si="238"/>
        <v>#DIV/0!</v>
      </c>
      <c r="AC74" s="331" t="e">
        <f t="shared" si="238"/>
        <v>#DIV/0!</v>
      </c>
      <c r="AD74" s="331" t="e">
        <f t="shared" si="238"/>
        <v>#DIV/0!</v>
      </c>
      <c r="AE74" s="331" t="e">
        <f t="shared" si="238"/>
        <v>#DIV/0!</v>
      </c>
      <c r="AF74" s="331" t="e">
        <f t="shared" si="238"/>
        <v>#DIV/0!</v>
      </c>
      <c r="AG74" s="331" t="e">
        <f t="shared" si="238"/>
        <v>#DIV/0!</v>
      </c>
      <c r="AH74" s="331" t="e">
        <f t="shared" si="238"/>
        <v>#DIV/0!</v>
      </c>
      <c r="AI74" s="331" t="e">
        <f t="shared" si="238"/>
        <v>#DIV/0!</v>
      </c>
      <c r="AJ74" s="331" t="e">
        <f t="shared" si="238"/>
        <v>#DIV/0!</v>
      </c>
      <c r="AK74" s="331" t="e">
        <f t="shared" si="238"/>
        <v>#DIV/0!</v>
      </c>
      <c r="AL74" s="331" t="e">
        <f t="shared" si="238"/>
        <v>#DIV/0!</v>
      </c>
      <c r="AM74" s="331" t="e">
        <f t="shared" si="238"/>
        <v>#DIV/0!</v>
      </c>
      <c r="AN74" s="331" t="e">
        <f t="shared" si="238"/>
        <v>#DIV/0!</v>
      </c>
      <c r="AO74" s="331" t="e">
        <f t="shared" si="238"/>
        <v>#DIV/0!</v>
      </c>
      <c r="AP74" s="331" t="e">
        <f t="shared" si="238"/>
        <v>#DIV/0!</v>
      </c>
      <c r="AQ74" s="331" t="e">
        <f t="shared" si="238"/>
        <v>#DIV/0!</v>
      </c>
      <c r="AR74" s="331">
        <f t="shared" si="238"/>
        <v>3.7703415450692973E-2</v>
      </c>
      <c r="AS74" s="331">
        <f t="shared" si="238"/>
        <v>1.8882341856361114E-2</v>
      </c>
      <c r="AT74" s="331">
        <f t="shared" si="238"/>
        <v>2.114386748413831E-2</v>
      </c>
      <c r="AU74" s="331">
        <f t="shared" si="238"/>
        <v>2.3548713180371713E-2</v>
      </c>
      <c r="AV74" s="331">
        <f t="shared" si="238"/>
        <v>2.1862059258383415E-2</v>
      </c>
      <c r="AW74" s="331">
        <f t="shared" si="238"/>
        <v>2.1776712694129098E-2</v>
      </c>
      <c r="AX74" s="331">
        <f t="shared" si="238"/>
        <v>2.1359699657442204E-2</v>
      </c>
      <c r="AY74" s="331">
        <f t="shared" si="238"/>
        <v>1.9885159499209815E-2</v>
      </c>
      <c r="AZ74" s="331">
        <f t="shared" si="238"/>
        <v>1.9569363427717763E-2</v>
      </c>
      <c r="BA74" s="331">
        <f t="shared" si="238"/>
        <v>2.0594259791318233E-2</v>
      </c>
      <c r="BB74" s="331">
        <f t="shared" si="238"/>
        <v>2.0376318693688618E-2</v>
      </c>
      <c r="BC74" s="331">
        <f t="shared" si="238"/>
        <v>1.9483461410852655E-2</v>
      </c>
      <c r="BD74" s="331">
        <f t="shared" si="238"/>
        <v>1.9994129868682604E-2</v>
      </c>
      <c r="BE74" s="331">
        <f t="shared" ref="BE74:CI74" si="239">(BE26/BE131)*4</f>
        <v>2.0481841414631143E-2</v>
      </c>
      <c r="BF74" s="331">
        <f t="shared" si="239"/>
        <v>2.1105097599270341E-2</v>
      </c>
      <c r="BG74" s="332">
        <f t="shared" si="239"/>
        <v>2.0696070397267331E-2</v>
      </c>
      <c r="BH74" s="331">
        <f t="shared" si="239"/>
        <v>1.8910004747542539E-2</v>
      </c>
      <c r="BI74" s="331">
        <f t="shared" ref="BI74" si="240">(BI26/BI131)*4</f>
        <v>2.0957629055747877E-2</v>
      </c>
      <c r="BJ74" s="331">
        <f t="shared" si="239"/>
        <v>2.0730449741111805E-2</v>
      </c>
      <c r="BK74" s="331">
        <f t="shared" si="239"/>
        <v>2.1368999281356046E-2</v>
      </c>
      <c r="BL74" s="331">
        <f t="shared" ref="BL74" si="241">(BL26/BL131)*4</f>
        <v>2.0426343887212182E-2</v>
      </c>
      <c r="BM74" s="331">
        <f t="shared" si="239"/>
        <v>1.9512603460480598E-2</v>
      </c>
      <c r="BN74" s="331">
        <f t="shared" ref="BN74:BO74" si="242">(BN26/BN131)*4</f>
        <v>1.893110914348619E-2</v>
      </c>
      <c r="BO74" s="331">
        <f t="shared" si="242"/>
        <v>2.0450550867779291E-2</v>
      </c>
      <c r="BP74" s="331">
        <f t="shared" si="239"/>
        <v>1.8634566835284663E-2</v>
      </c>
      <c r="BQ74" s="331">
        <f t="shared" si="239"/>
        <v>1.8675066033902472E-2</v>
      </c>
      <c r="BR74" s="331">
        <f t="shared" ref="BR74:BS74" si="243">(BR26/BR131)*4</f>
        <v>1.7570339169402042E-2</v>
      </c>
      <c r="BS74" s="331">
        <f t="shared" si="243"/>
        <v>1.781923375426488E-2</v>
      </c>
      <c r="BT74" s="330">
        <f t="shared" si="239"/>
        <v>1.6896647839917414E-2</v>
      </c>
      <c r="BU74" s="330">
        <f t="shared" si="239"/>
        <v>1.6889816071406993E-2</v>
      </c>
      <c r="BV74" s="330">
        <f t="shared" si="239"/>
        <v>1.706452046730645E-2</v>
      </c>
      <c r="BW74" s="330">
        <f t="shared" si="239"/>
        <v>1.7712522036852411E-2</v>
      </c>
      <c r="BX74" s="330">
        <f t="shared" si="239"/>
        <v>1.7174150222929795E-2</v>
      </c>
      <c r="BY74" s="330">
        <f t="shared" si="239"/>
        <v>1.7293749328231269E-2</v>
      </c>
      <c r="BZ74" s="330">
        <f t="shared" si="239"/>
        <v>1.7418622481737346E-2</v>
      </c>
      <c r="CA74" s="330">
        <f t="shared" si="239"/>
        <v>1.8064622045432889E-2</v>
      </c>
      <c r="CB74" s="330">
        <f t="shared" si="239"/>
        <v>1.823080254106459E-2</v>
      </c>
      <c r="CC74" s="330">
        <f t="shared" si="239"/>
        <v>1.8375184437925993E-2</v>
      </c>
      <c r="CD74" s="330">
        <f t="shared" si="239"/>
        <v>1.8523762162822109E-2</v>
      </c>
      <c r="CE74" s="330">
        <f t="shared" si="239"/>
        <v>1.8677170497068487E-2</v>
      </c>
      <c r="CF74" s="330">
        <f t="shared" si="239"/>
        <v>1.8845931131033156E-2</v>
      </c>
      <c r="CG74" s="330">
        <f t="shared" si="239"/>
        <v>1.8983627815350138E-2</v>
      </c>
      <c r="CH74" s="330">
        <f t="shared" si="239"/>
        <v>1.9128077242318336E-2</v>
      </c>
      <c r="CI74" s="330">
        <f t="shared" si="239"/>
        <v>1.9273083699799784E-2</v>
      </c>
      <c r="CJ74" s="330">
        <f t="shared" ref="CJ74:CM74" si="244">(CJ26/CJ131)*4</f>
        <v>1.9435109548643987E-2</v>
      </c>
      <c r="CK74" s="330">
        <f t="shared" si="244"/>
        <v>1.9559878804086436E-2</v>
      </c>
      <c r="CL74" s="330">
        <f t="shared" si="244"/>
        <v>1.9697742554704467E-2</v>
      </c>
      <c r="CM74" s="330">
        <f t="shared" si="244"/>
        <v>1.9806410629429887E-2</v>
      </c>
      <c r="CN74" s="330">
        <f t="shared" ref="CN74:CQ74" si="245">(CN26/CN131)*4</f>
        <v>1.9945247976748456E-2</v>
      </c>
      <c r="CO74" s="330">
        <f t="shared" si="245"/>
        <v>2.0043774287996165E-2</v>
      </c>
      <c r="CP74" s="330">
        <f t="shared" si="245"/>
        <v>2.01559853330147E-2</v>
      </c>
      <c r="CQ74" s="330">
        <f t="shared" si="245"/>
        <v>2.0241537234860375E-2</v>
      </c>
    </row>
    <row r="75" spans="1:95" s="325" customFormat="1" ht="11.25" customHeight="1">
      <c r="A75" s="329" t="s">
        <v>337</v>
      </c>
      <c r="B75" s="331"/>
      <c r="C75" s="331" t="e">
        <f>(C26/Summary!C93)</f>
        <v>#DIV/0!</v>
      </c>
      <c r="D75" s="331" t="e">
        <f>(D26/Summary!D93)</f>
        <v>#DIV/0!</v>
      </c>
      <c r="E75" s="331" t="e">
        <f>(E26/Summary!E93)</f>
        <v>#DIV/0!</v>
      </c>
      <c r="F75" s="331" t="e">
        <f>(F26/Summary!F93)</f>
        <v>#DIV/0!</v>
      </c>
      <c r="G75" s="331" t="e">
        <f>(G26/Summary!G93)</f>
        <v>#DIV/0!</v>
      </c>
      <c r="H75" s="331" t="e">
        <f>(H26/Summary!H93)</f>
        <v>#DIV/0!</v>
      </c>
      <c r="I75" s="331">
        <f>(I26/Summary!I93)</f>
        <v>0.29454858338144263</v>
      </c>
      <c r="J75" s="331">
        <f>(J26/Summary!J93)</f>
        <v>0.29510180863347241</v>
      </c>
      <c r="K75" s="331">
        <f>(K26/Summary!K93)</f>
        <v>0.27922319409281371</v>
      </c>
      <c r="L75" s="331">
        <f>(L26/Summary!L93)</f>
        <v>0.27688501384463027</v>
      </c>
      <c r="M75" s="331">
        <f>(M26/Summary!M93)</f>
        <v>0.28045668331649914</v>
      </c>
      <c r="N75" s="331">
        <f>(N26/Summary!N93)</f>
        <v>0.25433444046534037</v>
      </c>
      <c r="O75" s="331">
        <f>(O26/Summary!O93)</f>
        <v>0.22902296749946213</v>
      </c>
      <c r="P75" s="330">
        <f ca="1">(P26/Summary!P93)</f>
        <v>0.22577280835593772</v>
      </c>
      <c r="Q75" s="330">
        <f ca="1">(Q26/Summary!Q93)</f>
        <v>0.22780184332541739</v>
      </c>
      <c r="R75" s="330">
        <f ca="1">(R26/Summary!R93)</f>
        <v>0.23422783217172916</v>
      </c>
      <c r="S75" s="330">
        <f ca="1">(S26/Summary!S93)</f>
        <v>0.23721184004008944</v>
      </c>
      <c r="T75" s="330">
        <f ca="1">(T26/Summary!T93)</f>
        <v>0.23853615919675472</v>
      </c>
      <c r="U75" s="330">
        <f ca="1">(U26/Summary!U93)</f>
        <v>0.23934381806581409</v>
      </c>
      <c r="V75" s="323"/>
      <c r="W75" s="329" t="s">
        <v>337</v>
      </c>
      <c r="X75" s="331"/>
      <c r="Y75" s="331" t="e">
        <f>(Y26/Summary!Y93)</f>
        <v>#DIV/0!</v>
      </c>
      <c r="Z75" s="331" t="e">
        <f>(Z26/Summary!Z93)</f>
        <v>#DIV/0!</v>
      </c>
      <c r="AA75" s="331" t="e">
        <f>(AA26/Summary!AA93)</f>
        <v>#DIV/0!</v>
      </c>
      <c r="AB75" s="331" t="e">
        <f>(AB26/Summary!AB93)</f>
        <v>#DIV/0!</v>
      </c>
      <c r="AC75" s="331" t="e">
        <f>(AC26/Summary!AC93)</f>
        <v>#DIV/0!</v>
      </c>
      <c r="AD75" s="331" t="e">
        <f>(AD26/Summary!AD93)</f>
        <v>#DIV/0!</v>
      </c>
      <c r="AE75" s="331" t="e">
        <f>(AE26/Summary!AE93)</f>
        <v>#DIV/0!</v>
      </c>
      <c r="AF75" s="331" t="e">
        <f>(AF26/Summary!AF93)</f>
        <v>#DIV/0!</v>
      </c>
      <c r="AG75" s="331" t="e">
        <f>(AG26/Summary!AG93)</f>
        <v>#DIV/0!</v>
      </c>
      <c r="AH75" s="331" t="e">
        <f>(AH26/Summary!AH93)</f>
        <v>#DIV/0!</v>
      </c>
      <c r="AI75" s="331" t="e">
        <f>(AI26/Summary!AI93)</f>
        <v>#DIV/0!</v>
      </c>
      <c r="AJ75" s="331" t="e">
        <f>(AJ26/Summary!AJ93)</f>
        <v>#DIV/0!</v>
      </c>
      <c r="AK75" s="331" t="e">
        <f>(AK26/Summary!AK93)</f>
        <v>#DIV/0!</v>
      </c>
      <c r="AL75" s="331" t="e">
        <f>(AL26/Summary!AL93)</f>
        <v>#DIV/0!</v>
      </c>
      <c r="AM75" s="331" t="e">
        <f>(AM26/Summary!AM93)</f>
        <v>#DIV/0!</v>
      </c>
      <c r="AN75" s="331" t="e">
        <f>(AN26/Summary!AN93)</f>
        <v>#DIV/0!</v>
      </c>
      <c r="AO75" s="331" t="e">
        <f>(AO26/Summary!AO93)</f>
        <v>#DIV/0!</v>
      </c>
      <c r="AP75" s="331" t="e">
        <f>(AP26/Summary!AP93)</f>
        <v>#DIV/0!</v>
      </c>
      <c r="AQ75" s="331" t="e">
        <f>(AQ26/Summary!AQ93)</f>
        <v>#DIV/0!</v>
      </c>
      <c r="AR75" s="331">
        <f>(AR26/Summary!AR93)</f>
        <v>0.30050232784986242</v>
      </c>
      <c r="AS75" s="331">
        <f>(AS26/Summary!AS93)</f>
        <v>0.2719846560978707</v>
      </c>
      <c r="AT75" s="331">
        <f>(AT26/Summary!AT93)</f>
        <v>0.29581397463410042</v>
      </c>
      <c r="AU75" s="331">
        <f>(AU26/Summary!AU93)</f>
        <v>0.30961779435456727</v>
      </c>
      <c r="AV75" s="331">
        <f>(AV26/Summary!AV93)</f>
        <v>0.30234876500253238</v>
      </c>
      <c r="AW75" s="331">
        <f>(AW26/Summary!AW93)</f>
        <v>0.29350117956960264</v>
      </c>
      <c r="AX75" s="331">
        <f>(AX26/Summary!AX93)</f>
        <v>0.29518237425265309</v>
      </c>
      <c r="AY75" s="331">
        <f>(AY26/Summary!AY93)</f>
        <v>0.29004586757818102</v>
      </c>
      <c r="AZ75" s="331">
        <f>(AZ26/Summary!AZ93)</f>
        <v>0.27999406374546543</v>
      </c>
      <c r="BA75" s="331">
        <f>(BA26/Summary!BA93)</f>
        <v>0.2912568788053651</v>
      </c>
      <c r="BB75" s="331">
        <f>(BB26/Summary!BB93)</f>
        <v>0.28051262234892599</v>
      </c>
      <c r="BC75" s="331">
        <f>(BC26/Summary!BC93)</f>
        <v>0.2657597286952525</v>
      </c>
      <c r="BD75" s="331">
        <f>(BD26/Summary!BD93)</f>
        <v>0.2817128049900543</v>
      </c>
      <c r="BE75" s="331">
        <f>(BE26/Summary!BE93)</f>
        <v>0.26861266151299135</v>
      </c>
      <c r="BF75" s="331">
        <f>(BF26/Summary!BF93)</f>
        <v>0.27785405744229352</v>
      </c>
      <c r="BG75" s="332">
        <f>(BG26/Summary!BG93)</f>
        <v>0.27972882326761095</v>
      </c>
      <c r="BH75" s="331">
        <f>(BH26/Summary!BH93)</f>
        <v>0.26688937795798812</v>
      </c>
      <c r="BI75" s="331">
        <f>(BI26/Summary!BI93)</f>
        <v>0.2907065625648152</v>
      </c>
      <c r="BJ75" s="331">
        <f>(BJ26/Summary!BJ93)</f>
        <v>0.27227875104586341</v>
      </c>
      <c r="BK75" s="331">
        <f>(BK26/Summary!BK93)</f>
        <v>0.29142582100326564</v>
      </c>
      <c r="BL75" s="331">
        <f>(BL26/Summary!BL93)</f>
        <v>0.27075412695512791</v>
      </c>
      <c r="BM75" s="331">
        <f>(BM26/Summary!BM93)</f>
        <v>0.24338260037990234</v>
      </c>
      <c r="BN75" s="331">
        <f>(BN26/Summary!BN93)</f>
        <v>0.240714920302291</v>
      </c>
      <c r="BO75" s="331">
        <f>(BO26/Summary!BO93)</f>
        <v>0.26412717327045948</v>
      </c>
      <c r="BP75" s="331">
        <f>(BP26/Summary!BP93)</f>
        <v>0.22402290813114045</v>
      </c>
      <c r="BQ75" s="331">
        <f>(BQ26/Summary!BQ93)</f>
        <v>0.23931620847457502</v>
      </c>
      <c r="BR75" s="331">
        <f>(BR26/Summary!BR93)</f>
        <v>0.22787226578339492</v>
      </c>
      <c r="BS75" s="331">
        <f>(BS26/Summary!BS93)</f>
        <v>0.22545445955354265</v>
      </c>
      <c r="BT75" s="330">
        <f ca="1">(BT26/Summary!BT93)</f>
        <v>0.22213221752965812</v>
      </c>
      <c r="BU75" s="330">
        <f ca="1">(BU26/Summary!BU93)</f>
        <v>0.22468361371726134</v>
      </c>
      <c r="BV75" s="330">
        <f ca="1">(BV26/Summary!BV93)</f>
        <v>0.22498630493631064</v>
      </c>
      <c r="BW75" s="330">
        <f ca="1">(BW26/Summary!BW93)</f>
        <v>0.23092521940054619</v>
      </c>
      <c r="BX75" s="330">
        <f ca="1">(BX26/Summary!BX93)</f>
        <v>0.22529693035838791</v>
      </c>
      <c r="BY75" s="330">
        <f ca="1">(BY26/Summary!BY93)</f>
        <v>0.22563560278482439</v>
      </c>
      <c r="BZ75" s="330">
        <f ca="1">(BZ26/Summary!BZ93)</f>
        <v>0.22726155041765755</v>
      </c>
      <c r="CA75" s="330">
        <f ca="1">(CA26/Summary!CA93)</f>
        <v>0.23267000901624998</v>
      </c>
      <c r="CB75" s="330">
        <f ca="1">(CB26/Summary!CB93)</f>
        <v>0.23528755541717639</v>
      </c>
      <c r="CC75" s="330">
        <f ca="1">(CC26/Summary!CC93)</f>
        <v>0.23366489357056461</v>
      </c>
      <c r="CD75" s="330">
        <f ca="1">(CD26/Summary!CD93)</f>
        <v>0.23456938178374453</v>
      </c>
      <c r="CE75" s="330">
        <f ca="1">(CE26/Summary!CE93)</f>
        <v>0.23346567454695247</v>
      </c>
      <c r="CF75" s="330">
        <f ca="1">(CF26/Summary!CF93)</f>
        <v>0.23597437876816793</v>
      </c>
      <c r="CG75" s="330">
        <f ca="1">(CG26/Summary!CG93)</f>
        <v>0.23669594820414666</v>
      </c>
      <c r="CH75" s="330">
        <f ca="1">(CH26/Summary!CH93)</f>
        <v>0.23810157952062511</v>
      </c>
      <c r="CI75" s="330">
        <f ca="1">(CI26/Summary!CI93)</f>
        <v>0.23797944758164949</v>
      </c>
      <c r="CJ75" s="330">
        <f ca="1">(CJ26/Summary!CJ93)</f>
        <v>0.23873589577827437</v>
      </c>
      <c r="CK75" s="330">
        <f ca="1">(CK26/Summary!CK93)</f>
        <v>0.23807638971860229</v>
      </c>
      <c r="CL75" s="330">
        <f ca="1">(CL26/Summary!CL93)</f>
        <v>0.23879446037911486</v>
      </c>
      <c r="CM75" s="330">
        <f ca="1">(CM26/Summary!CM93)</f>
        <v>0.23853723203898633</v>
      </c>
      <c r="CN75" s="330">
        <f ca="1">(CN26/Summary!CN93)</f>
        <v>0.23966830529909453</v>
      </c>
      <c r="CO75" s="330">
        <f ca="1">(CO26/Summary!CO93)</f>
        <v>0.23892350390176789</v>
      </c>
      <c r="CP75" s="330">
        <f ca="1">(CP26/Summary!CP93)</f>
        <v>0.23955134973312969</v>
      </c>
      <c r="CQ75" s="330">
        <f ca="1">(CQ26/Summary!CQ93)</f>
        <v>0.23924288179122055</v>
      </c>
    </row>
    <row r="76" spans="1:95" s="325" customFormat="1" ht="11.25" customHeight="1">
      <c r="A76" s="329" t="s">
        <v>336</v>
      </c>
      <c r="B76" s="331"/>
      <c r="C76" s="331" t="e">
        <f t="shared" ref="C76:S76" si="246">-(C28+C29)/(C20+C26+C27+C30+C32+C31)</f>
        <v>#DIV/0!</v>
      </c>
      <c r="D76" s="331" t="e">
        <f t="shared" si="246"/>
        <v>#DIV/0!</v>
      </c>
      <c r="E76" s="331" t="e">
        <f t="shared" si="246"/>
        <v>#DIV/0!</v>
      </c>
      <c r="F76" s="331" t="e">
        <f t="shared" si="246"/>
        <v>#DIV/0!</v>
      </c>
      <c r="G76" s="331" t="e">
        <f t="shared" si="246"/>
        <v>#DIV/0!</v>
      </c>
      <c r="H76" s="331" t="e">
        <f t="shared" si="246"/>
        <v>#DIV/0!</v>
      </c>
      <c r="I76" s="331">
        <f t="shared" si="246"/>
        <v>0.48988229547340501</v>
      </c>
      <c r="J76" s="331">
        <f t="shared" si="246"/>
        <v>0.47976378459801283</v>
      </c>
      <c r="K76" s="331">
        <f t="shared" si="246"/>
        <v>0.49014890438822889</v>
      </c>
      <c r="L76" s="331">
        <f t="shared" si="246"/>
        <v>0.50777362885545729</v>
      </c>
      <c r="M76" s="331">
        <f t="shared" si="246"/>
        <v>0.52789937404679488</v>
      </c>
      <c r="N76" s="331">
        <f t="shared" si="246"/>
        <v>0.49633116165504948</v>
      </c>
      <c r="O76" s="331">
        <f t="shared" si="246"/>
        <v>0.46364514617852226</v>
      </c>
      <c r="P76" s="330">
        <f t="shared" ca="1" si="246"/>
        <v>0.45582547024025361</v>
      </c>
      <c r="Q76" s="330">
        <f t="shared" ca="1" si="246"/>
        <v>0.4372532532637004</v>
      </c>
      <c r="R76" s="330">
        <f t="shared" ca="1" si="246"/>
        <v>0.41818726413988222</v>
      </c>
      <c r="S76" s="330">
        <f t="shared" ca="1" si="246"/>
        <v>0.40430414550559285</v>
      </c>
      <c r="T76" s="330">
        <f t="shared" ref="T76:U76" ca="1" si="247">-(T28+T29)/(T20+T26+T27+T30+T32+T31)</f>
        <v>0.38837069166042643</v>
      </c>
      <c r="U76" s="330">
        <f t="shared" ca="1" si="247"/>
        <v>0.37245625236712343</v>
      </c>
      <c r="V76" s="323"/>
      <c r="W76" s="329" t="s">
        <v>336</v>
      </c>
      <c r="X76" s="331"/>
      <c r="Y76" s="331" t="e">
        <f t="shared" ref="Y76:AE76" si="248">-(Y28+Y29)/(Y20+Y26+Y27+Y30+Y32)</f>
        <v>#DIV/0!</v>
      </c>
      <c r="Z76" s="331" t="e">
        <f t="shared" si="248"/>
        <v>#DIV/0!</v>
      </c>
      <c r="AA76" s="331" t="e">
        <f t="shared" si="248"/>
        <v>#DIV/0!</v>
      </c>
      <c r="AB76" s="331" t="e">
        <f t="shared" si="248"/>
        <v>#DIV/0!</v>
      </c>
      <c r="AC76" s="331" t="e">
        <f t="shared" si="248"/>
        <v>#DIV/0!</v>
      </c>
      <c r="AD76" s="331" t="e">
        <f t="shared" si="248"/>
        <v>#DIV/0!</v>
      </c>
      <c r="AE76" s="331" t="e">
        <f t="shared" si="248"/>
        <v>#DIV/0!</v>
      </c>
      <c r="AF76" s="331" t="e">
        <f t="shared" ref="AF76:BK76" si="249">-(AF28+AF29)/(AF20+AF26+AF27+AF30+AF32+AF31)</f>
        <v>#DIV/0!</v>
      </c>
      <c r="AG76" s="331" t="e">
        <f t="shared" si="249"/>
        <v>#DIV/0!</v>
      </c>
      <c r="AH76" s="331" t="e">
        <f t="shared" si="249"/>
        <v>#DIV/0!</v>
      </c>
      <c r="AI76" s="331" t="e">
        <f t="shared" si="249"/>
        <v>#DIV/0!</v>
      </c>
      <c r="AJ76" s="331" t="e">
        <f t="shared" si="249"/>
        <v>#DIV/0!</v>
      </c>
      <c r="AK76" s="331" t="e">
        <f t="shared" si="249"/>
        <v>#DIV/0!</v>
      </c>
      <c r="AL76" s="331" t="e">
        <f t="shared" si="249"/>
        <v>#DIV/0!</v>
      </c>
      <c r="AM76" s="331" t="e">
        <f t="shared" si="249"/>
        <v>#DIV/0!</v>
      </c>
      <c r="AN76" s="331" t="e">
        <f t="shared" si="249"/>
        <v>#DIV/0!</v>
      </c>
      <c r="AO76" s="331" t="e">
        <f t="shared" si="249"/>
        <v>#DIV/0!</v>
      </c>
      <c r="AP76" s="331" t="e">
        <f t="shared" si="249"/>
        <v>#DIV/0!</v>
      </c>
      <c r="AQ76" s="331" t="e">
        <f t="shared" si="249"/>
        <v>#DIV/0!</v>
      </c>
      <c r="AR76" s="331">
        <f t="shared" si="249"/>
        <v>0.49875748689094085</v>
      </c>
      <c r="AS76" s="331">
        <f t="shared" si="249"/>
        <v>0.45023293716134621</v>
      </c>
      <c r="AT76" s="331">
        <f t="shared" si="249"/>
        <v>0.48216496255699565</v>
      </c>
      <c r="AU76" s="331">
        <f t="shared" si="249"/>
        <v>0.52900465276540865</v>
      </c>
      <c r="AV76" s="331">
        <f t="shared" si="249"/>
        <v>0.50652725440543989</v>
      </c>
      <c r="AW76" s="331">
        <f t="shared" si="249"/>
        <v>0.44240324742303916</v>
      </c>
      <c r="AX76" s="331">
        <f t="shared" si="249"/>
        <v>0.45022807622410593</v>
      </c>
      <c r="AY76" s="331">
        <f t="shared" si="249"/>
        <v>0.52302494323154203</v>
      </c>
      <c r="AZ76" s="331">
        <f t="shared" si="249"/>
        <v>0.46937113960197774</v>
      </c>
      <c r="BA76" s="331">
        <f t="shared" si="249"/>
        <v>0.49045028012938463</v>
      </c>
      <c r="BB76" s="331">
        <f t="shared" si="249"/>
        <v>0.48965914576309716</v>
      </c>
      <c r="BC76" s="331">
        <f t="shared" si="249"/>
        <v>0.50991082851774705</v>
      </c>
      <c r="BD76" s="331">
        <f t="shared" si="249"/>
        <v>0.49100925988795507</v>
      </c>
      <c r="BE76" s="331">
        <f t="shared" si="249"/>
        <v>0.48408553484591288</v>
      </c>
      <c r="BF76" s="331">
        <f t="shared" si="249"/>
        <v>0.49778221435012043</v>
      </c>
      <c r="BG76" s="332">
        <f t="shared" si="249"/>
        <v>0.55307573539788668</v>
      </c>
      <c r="BH76" s="331">
        <f t="shared" si="249"/>
        <v>0.51162910689031682</v>
      </c>
      <c r="BI76" s="331">
        <f t="shared" ref="BI76" si="250">-(BI28+BI29)/(BI20+BI26+BI27+BI30+BI32+BI31)</f>
        <v>0.55710293127245447</v>
      </c>
      <c r="BJ76" s="331">
        <f t="shared" si="249"/>
        <v>0.50545177941148112</v>
      </c>
      <c r="BK76" s="331">
        <f t="shared" si="249"/>
        <v>0.53885961208845168</v>
      </c>
      <c r="BL76" s="331">
        <f t="shared" ref="BL76" si="251">-(BL28+BL29)/(BL20+BL26+BL27+BL30+BL32+BL31)</f>
        <v>0.47707038020940806</v>
      </c>
      <c r="BM76" s="331">
        <f t="shared" ref="BM76:CI76" si="252">-(BM28+BM29)/(BM20+BM26+BM27+BM30+BM32+BM31)</f>
        <v>0.5006843975241988</v>
      </c>
      <c r="BN76" s="331">
        <f t="shared" ref="BN76:BO76" si="253">-(BN28+BN29)/(BN20+BN26+BN27+BN30+BN32+BN31)</f>
        <v>0.48114566913413104</v>
      </c>
      <c r="BO76" s="331">
        <f t="shared" si="253"/>
        <v>0.52407960702891587</v>
      </c>
      <c r="BP76" s="331">
        <f t="shared" si="252"/>
        <v>0.4329836465859907</v>
      </c>
      <c r="BQ76" s="331">
        <f t="shared" si="252"/>
        <v>0.46951984547261333</v>
      </c>
      <c r="BR76" s="331">
        <f t="shared" ref="BR76:BS76" si="254">-(BR28+BR29)/(BR20+BR26+BR27+BR30+BR32+BR31)</f>
        <v>0.46850539985106171</v>
      </c>
      <c r="BS76" s="331">
        <f t="shared" si="254"/>
        <v>0.4830575799464879</v>
      </c>
      <c r="BT76" s="330">
        <f t="shared" ca="1" si="252"/>
        <v>0.46091703641335346</v>
      </c>
      <c r="BU76" s="330">
        <f t="shared" ca="1" si="252"/>
        <v>0.4578602235895865</v>
      </c>
      <c r="BV76" s="330">
        <f t="shared" ca="1" si="252"/>
        <v>0.44984151879870055</v>
      </c>
      <c r="BW76" s="330">
        <f t="shared" ca="1" si="252"/>
        <v>0.45502794068666608</v>
      </c>
      <c r="BX76" s="330">
        <f t="shared" ca="1" si="252"/>
        <v>0.43884265664998157</v>
      </c>
      <c r="BY76" s="330">
        <f t="shared" ca="1" si="252"/>
        <v>0.43673770637266046</v>
      </c>
      <c r="BZ76" s="330">
        <f t="shared" ca="1" si="252"/>
        <v>0.43479794724948662</v>
      </c>
      <c r="CA76" s="330">
        <f t="shared" ca="1" si="252"/>
        <v>0.43865184687208214</v>
      </c>
      <c r="CB76" s="330">
        <f t="shared" ca="1" si="252"/>
        <v>0.4209186533981753</v>
      </c>
      <c r="CC76" s="330">
        <f t="shared" ca="1" si="252"/>
        <v>0.41683210415911487</v>
      </c>
      <c r="CD76" s="330">
        <f t="shared" ca="1" si="252"/>
        <v>0.41518036224561788</v>
      </c>
      <c r="CE76" s="330">
        <f t="shared" ca="1" si="252"/>
        <v>0.41988791731386127</v>
      </c>
      <c r="CF76" s="330">
        <f t="shared" ca="1" si="252"/>
        <v>0.40277402965370357</v>
      </c>
      <c r="CG76" s="330">
        <f t="shared" ca="1" si="252"/>
        <v>0.40297413697853401</v>
      </c>
      <c r="CH76" s="330">
        <f t="shared" ca="1" si="252"/>
        <v>0.40230174773921412</v>
      </c>
      <c r="CI76" s="330">
        <f t="shared" ca="1" si="252"/>
        <v>0.40892287437011943</v>
      </c>
      <c r="CJ76" s="330">
        <f t="shared" ref="CJ76:CM76" ca="1" si="255">-(CJ28+CJ29)/(CJ20+CJ26+CJ27+CJ30+CJ32+CJ31)</f>
        <v>0.38892417655949041</v>
      </c>
      <c r="CK76" s="330">
        <f t="shared" ca="1" si="255"/>
        <v>0.38708085784533025</v>
      </c>
      <c r="CL76" s="330">
        <f t="shared" ca="1" si="255"/>
        <v>0.38543892900331367</v>
      </c>
      <c r="CM76" s="330">
        <f t="shared" ca="1" si="255"/>
        <v>0.39192735508075666</v>
      </c>
      <c r="CN76" s="330">
        <f t="shared" ref="CN76:CQ76" ca="1" si="256">-(CN28+CN29)/(CN20+CN26+CN27+CN30+CN32+CN31)</f>
        <v>0.37289740736991883</v>
      </c>
      <c r="CO76" s="330">
        <f t="shared" ca="1" si="256"/>
        <v>0.37117913874991793</v>
      </c>
      <c r="CP76" s="330">
        <f t="shared" ca="1" si="256"/>
        <v>0.36956745138207575</v>
      </c>
      <c r="CQ76" s="330">
        <f t="shared" ca="1" si="256"/>
        <v>0.37606100653046454</v>
      </c>
    </row>
    <row r="77" spans="1:95" s="325" customFormat="1" ht="11.25" customHeight="1">
      <c r="A77" s="329" t="s">
        <v>335</v>
      </c>
      <c r="B77" s="331"/>
      <c r="C77" s="331" t="e">
        <f t="shared" ref="C77:S77" si="257">-(C28+C29)/C131</f>
        <v>#DIV/0!</v>
      </c>
      <c r="D77" s="331" t="e">
        <f t="shared" si="257"/>
        <v>#DIV/0!</v>
      </c>
      <c r="E77" s="331" t="e">
        <f t="shared" si="257"/>
        <v>#DIV/0!</v>
      </c>
      <c r="F77" s="331" t="e">
        <f t="shared" si="257"/>
        <v>#DIV/0!</v>
      </c>
      <c r="G77" s="331" t="e">
        <f t="shared" si="257"/>
        <v>#DIV/0!</v>
      </c>
      <c r="H77" s="331" t="e">
        <f t="shared" si="257"/>
        <v>#DIV/0!</v>
      </c>
      <c r="I77" s="331">
        <f t="shared" si="257"/>
        <v>7.3244161473657685E-2</v>
      </c>
      <c r="J77" s="331">
        <f t="shared" si="257"/>
        <v>3.5071383469010273E-2</v>
      </c>
      <c r="K77" s="331">
        <f t="shared" si="257"/>
        <v>3.6124128392328779E-2</v>
      </c>
      <c r="L77" s="331">
        <f t="shared" si="257"/>
        <v>3.9376901890942527E-2</v>
      </c>
      <c r="M77" s="331">
        <f t="shared" si="257"/>
        <v>3.9308365112274091E-2</v>
      </c>
      <c r="N77" s="331">
        <f t="shared" si="257"/>
        <v>4.0187967418850792E-2</v>
      </c>
      <c r="O77" s="331">
        <f t="shared" si="257"/>
        <v>3.6695178112304071E-2</v>
      </c>
      <c r="P77" s="330">
        <f t="shared" si="257"/>
        <v>3.5980315840273183E-2</v>
      </c>
      <c r="Q77" s="330">
        <f t="shared" si="257"/>
        <v>3.4598525392252832E-2</v>
      </c>
      <c r="R77" s="330">
        <f t="shared" si="257"/>
        <v>3.3819485274412392E-2</v>
      </c>
      <c r="S77" s="330">
        <f t="shared" si="257"/>
        <v>3.3234309891931914E-2</v>
      </c>
      <c r="T77" s="330">
        <f t="shared" ref="T77:U77" si="258">-(T28+T29)/T131</f>
        <v>3.254495128126516E-2</v>
      </c>
      <c r="U77" s="330">
        <f t="shared" si="258"/>
        <v>3.1717423739352421E-2</v>
      </c>
      <c r="V77" s="323"/>
      <c r="W77" s="329" t="s">
        <v>335</v>
      </c>
      <c r="X77" s="331"/>
      <c r="Y77" s="331" t="e">
        <f t="shared" ref="Y77:BD77" si="259">(-(Y28+Y29)/Y131)*4</f>
        <v>#DIV/0!</v>
      </c>
      <c r="Z77" s="331" t="e">
        <f t="shared" si="259"/>
        <v>#DIV/0!</v>
      </c>
      <c r="AA77" s="331" t="e">
        <f t="shared" si="259"/>
        <v>#DIV/0!</v>
      </c>
      <c r="AB77" s="331" t="e">
        <f t="shared" si="259"/>
        <v>#DIV/0!</v>
      </c>
      <c r="AC77" s="331" t="e">
        <f t="shared" si="259"/>
        <v>#DIV/0!</v>
      </c>
      <c r="AD77" s="331" t="e">
        <f t="shared" si="259"/>
        <v>#DIV/0!</v>
      </c>
      <c r="AE77" s="331" t="e">
        <f t="shared" si="259"/>
        <v>#DIV/0!</v>
      </c>
      <c r="AF77" s="331" t="e">
        <f t="shared" si="259"/>
        <v>#DIV/0!</v>
      </c>
      <c r="AG77" s="331" t="e">
        <f t="shared" si="259"/>
        <v>#DIV/0!</v>
      </c>
      <c r="AH77" s="331" t="e">
        <f t="shared" si="259"/>
        <v>#DIV/0!</v>
      </c>
      <c r="AI77" s="331" t="e">
        <f t="shared" si="259"/>
        <v>#DIV/0!</v>
      </c>
      <c r="AJ77" s="331" t="e">
        <f t="shared" si="259"/>
        <v>#DIV/0!</v>
      </c>
      <c r="AK77" s="331" t="e">
        <f t="shared" si="259"/>
        <v>#DIV/0!</v>
      </c>
      <c r="AL77" s="331" t="e">
        <f t="shared" si="259"/>
        <v>#DIV/0!</v>
      </c>
      <c r="AM77" s="331" t="e">
        <f t="shared" si="259"/>
        <v>#DIV/0!</v>
      </c>
      <c r="AN77" s="331" t="e">
        <f t="shared" si="259"/>
        <v>#DIV/0!</v>
      </c>
      <c r="AO77" s="331" t="e">
        <f t="shared" si="259"/>
        <v>#DIV/0!</v>
      </c>
      <c r="AP77" s="331" t="e">
        <f t="shared" si="259"/>
        <v>#DIV/0!</v>
      </c>
      <c r="AQ77" s="331" t="e">
        <f t="shared" si="259"/>
        <v>#DIV/0!</v>
      </c>
      <c r="AR77" s="331">
        <f t="shared" si="259"/>
        <v>7.1420329109539174E-2</v>
      </c>
      <c r="AS77" s="331">
        <f t="shared" si="259"/>
        <v>3.4421722557533577E-2</v>
      </c>
      <c r="AT77" s="331">
        <f t="shared" si="259"/>
        <v>3.5959272202923526E-2</v>
      </c>
      <c r="AU77" s="331">
        <f t="shared" si="259"/>
        <v>4.1318259106535207E-2</v>
      </c>
      <c r="AV77" s="331">
        <f t="shared" si="259"/>
        <v>3.724537973278693E-2</v>
      </c>
      <c r="AW77" s="331">
        <f t="shared" si="259"/>
        <v>3.5664917183238484E-2</v>
      </c>
      <c r="AX77" s="331">
        <f t="shared" si="259"/>
        <v>3.4568623199673361E-2</v>
      </c>
      <c r="AY77" s="331">
        <f t="shared" si="259"/>
        <v>3.6676675181042027E-2</v>
      </c>
      <c r="AZ77" s="331">
        <f t="shared" si="259"/>
        <v>3.4003013192508223E-2</v>
      </c>
      <c r="BA77" s="331">
        <f t="shared" si="259"/>
        <v>3.5111309572387138E-2</v>
      </c>
      <c r="BB77" s="331">
        <f t="shared" si="259"/>
        <v>3.6424605035986567E-2</v>
      </c>
      <c r="BC77" s="331">
        <f t="shared" si="259"/>
        <v>3.8418037137653807E-2</v>
      </c>
      <c r="BD77" s="331">
        <f t="shared" si="259"/>
        <v>3.6642245982785024E-2</v>
      </c>
      <c r="BE77" s="331">
        <f t="shared" ref="BE77:CI77" si="260">(-(BE28+BE29)/BE131)*4</f>
        <v>3.7807508744379999E-2</v>
      </c>
      <c r="BF77" s="331">
        <f t="shared" si="260"/>
        <v>3.954913880945124E-2</v>
      </c>
      <c r="BG77" s="332">
        <f t="shared" si="260"/>
        <v>4.2864583047093535E-2</v>
      </c>
      <c r="BH77" s="331">
        <f t="shared" si="260"/>
        <v>3.7399795938785486E-2</v>
      </c>
      <c r="BI77" s="331">
        <f t="shared" ref="BI77" si="261">(-(BI28+BI29)/BI131)*4</f>
        <v>3.9455706604080661E-2</v>
      </c>
      <c r="BJ77" s="331">
        <f t="shared" si="260"/>
        <v>3.8996313357355032E-2</v>
      </c>
      <c r="BK77" s="331">
        <f t="shared" si="260"/>
        <v>4.0052097128336059E-2</v>
      </c>
      <c r="BL77" s="331">
        <f t="shared" ref="BL77" si="262">(-(BL28+BL29)/BL131)*4</f>
        <v>3.6669966250187466E-2</v>
      </c>
      <c r="BM77" s="331">
        <f t="shared" si="260"/>
        <v>4.1035888835861782E-2</v>
      </c>
      <c r="BN77" s="331">
        <f t="shared" ref="BN77:BO77" si="263">(-(BN28+BN29)/BN131)*4</f>
        <v>3.8959851063441839E-2</v>
      </c>
      <c r="BO77" s="331">
        <f t="shared" si="263"/>
        <v>4.1070915520353683E-2</v>
      </c>
      <c r="BP77" s="331">
        <f t="shared" si="260"/>
        <v>3.6328208588837341E-2</v>
      </c>
      <c r="BQ77" s="331">
        <f t="shared" si="260"/>
        <v>3.6913276890906725E-2</v>
      </c>
      <c r="BR77" s="331">
        <f t="shared" ref="BR77:BS77" si="264">(-(BR28+BR29)/BR131)*4</f>
        <v>3.5457498148895004E-2</v>
      </c>
      <c r="BS77" s="331">
        <f t="shared" si="264"/>
        <v>3.7968755187831216E-2</v>
      </c>
      <c r="BT77" s="330">
        <f t="shared" si="260"/>
        <v>3.5590639196029381E-2</v>
      </c>
      <c r="BU77" s="330">
        <f t="shared" si="260"/>
        <v>3.5191803132399849E-2</v>
      </c>
      <c r="BV77" s="330">
        <f t="shared" si="260"/>
        <v>3.4870855656293422E-2</v>
      </c>
      <c r="BW77" s="330">
        <f t="shared" si="260"/>
        <v>3.565216109821364E-2</v>
      </c>
      <c r="BX77" s="330">
        <f t="shared" si="260"/>
        <v>3.4166766317438931E-2</v>
      </c>
      <c r="BY77" s="330">
        <f t="shared" si="260"/>
        <v>3.4173662413341507E-2</v>
      </c>
      <c r="BZ77" s="330">
        <f t="shared" si="260"/>
        <v>3.4011839529865993E-2</v>
      </c>
      <c r="CA77" s="330">
        <f t="shared" si="260"/>
        <v>3.4739660792711478E-2</v>
      </c>
      <c r="CB77" s="330">
        <f t="shared" si="260"/>
        <v>3.3260513006225553E-2</v>
      </c>
      <c r="CC77" s="330">
        <f t="shared" si="260"/>
        <v>3.3410368913891798E-2</v>
      </c>
      <c r="CD77" s="330">
        <f t="shared" si="260"/>
        <v>3.3406249413227604E-2</v>
      </c>
      <c r="CE77" s="330">
        <f t="shared" si="260"/>
        <v>3.4209023251187583E-2</v>
      </c>
      <c r="CF77" s="330">
        <f t="shared" si="260"/>
        <v>3.2752455737510594E-2</v>
      </c>
      <c r="CG77" s="330">
        <f t="shared" si="260"/>
        <v>3.2896392491304605E-2</v>
      </c>
      <c r="CH77" s="330">
        <f t="shared" si="260"/>
        <v>3.2886747505590584E-2</v>
      </c>
      <c r="CI77" s="330">
        <f t="shared" si="260"/>
        <v>3.3685656271080569E-2</v>
      </c>
      <c r="CJ77" s="330">
        <f t="shared" ref="CJ77:CM77" si="265">(-(CJ28+CJ29)/CJ131)*4</f>
        <v>3.2194977887524297E-2</v>
      </c>
      <c r="CK77" s="330">
        <f t="shared" si="265"/>
        <v>3.2324234705158189E-2</v>
      </c>
      <c r="CL77" s="330">
        <f t="shared" si="265"/>
        <v>3.2306603093223363E-2</v>
      </c>
      <c r="CM77" s="330">
        <f t="shared" si="265"/>
        <v>3.3055244773728731E-2</v>
      </c>
      <c r="CN77" s="330">
        <f t="shared" ref="CN77:CQ77" si="266">(-(CN28+CN29)/CN131)*4</f>
        <v>3.1512800058208057E-2</v>
      </c>
      <c r="CO77" s="330">
        <f t="shared" si="266"/>
        <v>3.1608780375656821E-2</v>
      </c>
      <c r="CP77" s="330">
        <f t="shared" si="266"/>
        <v>3.1555692913774316E-2</v>
      </c>
      <c r="CQ77" s="330">
        <f t="shared" si="266"/>
        <v>3.2277102095174565E-2</v>
      </c>
    </row>
    <row r="78" spans="1:95" s="325" customFormat="1" ht="11.25" customHeight="1">
      <c r="A78" s="329" t="s">
        <v>334</v>
      </c>
      <c r="B78" s="331"/>
      <c r="C78" s="331" t="e">
        <f t="shared" ref="C78:S78" si="267">-C22/C20</f>
        <v>#DIV/0!</v>
      </c>
      <c r="D78" s="331" t="e">
        <f t="shared" si="267"/>
        <v>#DIV/0!</v>
      </c>
      <c r="E78" s="331" t="e">
        <f t="shared" si="267"/>
        <v>#DIV/0!</v>
      </c>
      <c r="F78" s="331" t="e">
        <f t="shared" si="267"/>
        <v>#DIV/0!</v>
      </c>
      <c r="G78" s="331" t="e">
        <f t="shared" si="267"/>
        <v>#DIV/0!</v>
      </c>
      <c r="H78" s="331" t="e">
        <f t="shared" si="267"/>
        <v>#DIV/0!</v>
      </c>
      <c r="I78" s="331">
        <f t="shared" si="267"/>
        <v>0.18030698926587993</v>
      </c>
      <c r="J78" s="331">
        <f t="shared" si="267"/>
        <v>0.16512017044782595</v>
      </c>
      <c r="K78" s="331">
        <f t="shared" si="267"/>
        <v>0.16431380767200651</v>
      </c>
      <c r="L78" s="331">
        <f t="shared" si="267"/>
        <v>0.23429140846490148</v>
      </c>
      <c r="M78" s="331">
        <f t="shared" si="267"/>
        <v>0.24942414357128506</v>
      </c>
      <c r="N78" s="331">
        <f t="shared" si="267"/>
        <v>0.26768489837054327</v>
      </c>
      <c r="O78" s="331">
        <f t="shared" si="267"/>
        <v>0.25196573401692401</v>
      </c>
      <c r="P78" s="330">
        <f t="shared" ca="1" si="267"/>
        <v>0.25902333999099636</v>
      </c>
      <c r="Q78" s="330">
        <f t="shared" ca="1" si="267"/>
        <v>0.2592575346241342</v>
      </c>
      <c r="R78" s="330">
        <f t="shared" ca="1" si="267"/>
        <v>0.25962750973364518</v>
      </c>
      <c r="S78" s="330">
        <f t="shared" ca="1" si="267"/>
        <v>0.2579523575121126</v>
      </c>
      <c r="T78" s="330">
        <f t="shared" ref="T78:U78" ca="1" si="268">-T22/T20</f>
        <v>0.25645844784268435</v>
      </c>
      <c r="U78" s="330">
        <f t="shared" ca="1" si="268"/>
        <v>0.2546971608686312</v>
      </c>
      <c r="V78" s="323"/>
      <c r="W78" s="329" t="s">
        <v>333</v>
      </c>
      <c r="X78" s="331"/>
      <c r="Y78" s="331" t="e">
        <f t="shared" ref="Y78:BD78" si="269">-Y22/Y20</f>
        <v>#DIV/0!</v>
      </c>
      <c r="Z78" s="331" t="e">
        <f t="shared" si="269"/>
        <v>#DIV/0!</v>
      </c>
      <c r="AA78" s="331" t="e">
        <f t="shared" si="269"/>
        <v>#DIV/0!</v>
      </c>
      <c r="AB78" s="331" t="e">
        <f t="shared" si="269"/>
        <v>#DIV/0!</v>
      </c>
      <c r="AC78" s="331" t="e">
        <f t="shared" si="269"/>
        <v>#DIV/0!</v>
      </c>
      <c r="AD78" s="331" t="e">
        <f t="shared" si="269"/>
        <v>#DIV/0!</v>
      </c>
      <c r="AE78" s="331" t="e">
        <f t="shared" si="269"/>
        <v>#DIV/0!</v>
      </c>
      <c r="AF78" s="331" t="e">
        <f t="shared" si="269"/>
        <v>#DIV/0!</v>
      </c>
      <c r="AG78" s="331" t="e">
        <f t="shared" si="269"/>
        <v>#DIV/0!</v>
      </c>
      <c r="AH78" s="331" t="e">
        <f t="shared" si="269"/>
        <v>#DIV/0!</v>
      </c>
      <c r="AI78" s="331" t="e">
        <f t="shared" si="269"/>
        <v>#DIV/0!</v>
      </c>
      <c r="AJ78" s="331" t="e">
        <f t="shared" si="269"/>
        <v>#DIV/0!</v>
      </c>
      <c r="AK78" s="331" t="e">
        <f t="shared" si="269"/>
        <v>#DIV/0!</v>
      </c>
      <c r="AL78" s="331" t="e">
        <f t="shared" si="269"/>
        <v>#DIV/0!</v>
      </c>
      <c r="AM78" s="331" t="e">
        <f t="shared" si="269"/>
        <v>#DIV/0!</v>
      </c>
      <c r="AN78" s="331" t="e">
        <f t="shared" si="269"/>
        <v>#DIV/0!</v>
      </c>
      <c r="AO78" s="331" t="e">
        <f t="shared" si="269"/>
        <v>#DIV/0!</v>
      </c>
      <c r="AP78" s="331" t="e">
        <f t="shared" si="269"/>
        <v>#DIV/0!</v>
      </c>
      <c r="AQ78" s="331" t="e">
        <f t="shared" si="269"/>
        <v>#DIV/0!</v>
      </c>
      <c r="AR78" s="331">
        <f t="shared" si="269"/>
        <v>0.12860132547721975</v>
      </c>
      <c r="AS78" s="331">
        <f t="shared" si="269"/>
        <v>0.23415981943943401</v>
      </c>
      <c r="AT78" s="331">
        <f t="shared" si="269"/>
        <v>0.16974500640749685</v>
      </c>
      <c r="AU78" s="331">
        <f t="shared" si="269"/>
        <v>0.18506469111016272</v>
      </c>
      <c r="AV78" s="331">
        <f t="shared" si="269"/>
        <v>0.17576920878394053</v>
      </c>
      <c r="AW78" s="331">
        <f t="shared" si="269"/>
        <v>0.11954375307484671</v>
      </c>
      <c r="AX78" s="331">
        <f t="shared" si="269"/>
        <v>0.19282250636959489</v>
      </c>
      <c r="AY78" s="331">
        <f t="shared" si="269"/>
        <v>0.17132702637224684</v>
      </c>
      <c r="AZ78" s="331">
        <f t="shared" si="269"/>
        <v>0.13391227295138017</v>
      </c>
      <c r="BA78" s="331">
        <f t="shared" si="269"/>
        <v>0.19396918615150335</v>
      </c>
      <c r="BB78" s="331">
        <f t="shared" si="269"/>
        <v>0.12917781145086371</v>
      </c>
      <c r="BC78" s="331">
        <f t="shared" si="269"/>
        <v>0.19823884163226702</v>
      </c>
      <c r="BD78" s="331">
        <f t="shared" si="269"/>
        <v>0.18696174096865886</v>
      </c>
      <c r="BE78" s="331">
        <f t="shared" ref="BE78:CI78" si="270">-BE22/BE20</f>
        <v>0.28121418896337758</v>
      </c>
      <c r="BF78" s="331">
        <f t="shared" si="270"/>
        <v>0.22722577743009212</v>
      </c>
      <c r="BG78" s="332">
        <f t="shared" si="270"/>
        <v>0.23919971969231435</v>
      </c>
      <c r="BH78" s="331">
        <f t="shared" si="270"/>
        <v>0.21035722315204974</v>
      </c>
      <c r="BI78" s="331">
        <f t="shared" ref="BI78" si="271">-BI22/BI20</f>
        <v>0.26108962922056828</v>
      </c>
      <c r="BJ78" s="331">
        <f t="shared" si="270"/>
        <v>0.25849583771932516</v>
      </c>
      <c r="BK78" s="331">
        <f t="shared" si="270"/>
        <v>0.2644956162236019</v>
      </c>
      <c r="BL78" s="331">
        <f t="shared" ref="BL78" si="272">-BL22/BL20</f>
        <v>0.26010845224056395</v>
      </c>
      <c r="BM78" s="331">
        <f t="shared" si="270"/>
        <v>0.29849798199316979</v>
      </c>
      <c r="BN78" s="331">
        <f t="shared" ref="BN78:BO78" si="273">-BN22/BN20</f>
        <v>0.25692273203873356</v>
      </c>
      <c r="BO78" s="331">
        <f t="shared" si="273"/>
        <v>0.25549755229350513</v>
      </c>
      <c r="BP78" s="331">
        <f t="shared" si="270"/>
        <v>0.28125148779267856</v>
      </c>
      <c r="BQ78" s="331">
        <f t="shared" si="270"/>
        <v>0.23501143043762243</v>
      </c>
      <c r="BR78" s="331">
        <f t="shared" ref="BR78:BS78" si="274">-BR22/BR20</f>
        <v>0.23805595714376776</v>
      </c>
      <c r="BS78" s="331">
        <f t="shared" si="274"/>
        <v>0.25441116915725104</v>
      </c>
      <c r="BT78" s="330">
        <f t="shared" ca="1" si="270"/>
        <v>0.25640845221784908</v>
      </c>
      <c r="BU78" s="330">
        <f t="shared" ca="1" si="270"/>
        <v>0.26430817621806918</v>
      </c>
      <c r="BV78" s="330">
        <f t="shared" ca="1" si="270"/>
        <v>0.25793565042940914</v>
      </c>
      <c r="BW78" s="330">
        <f t="shared" ca="1" si="270"/>
        <v>0.25753209322356913</v>
      </c>
      <c r="BX78" s="330">
        <f t="shared" ca="1" si="270"/>
        <v>0.25466347496971781</v>
      </c>
      <c r="BY78" s="330">
        <f t="shared" ca="1" si="270"/>
        <v>0.25604217594178952</v>
      </c>
      <c r="BZ78" s="330">
        <f t="shared" ca="1" si="270"/>
        <v>0.25983446466843713</v>
      </c>
      <c r="CA78" s="330">
        <f t="shared" ca="1" si="270"/>
        <v>0.26600905690083526</v>
      </c>
      <c r="CB78" s="330">
        <f t="shared" ca="1" si="270"/>
        <v>0.26648094974978248</v>
      </c>
      <c r="CC78" s="330">
        <f t="shared" ca="1" si="270"/>
        <v>0.26229361004980944</v>
      </c>
      <c r="CD78" s="330">
        <f t="shared" ca="1" si="270"/>
        <v>0.25767316201759771</v>
      </c>
      <c r="CE78" s="330">
        <f t="shared" ca="1" si="270"/>
        <v>0.25283098530412962</v>
      </c>
      <c r="CF78" s="330">
        <f t="shared" ca="1" si="270"/>
        <v>0.25366199074909329</v>
      </c>
      <c r="CG78" s="330">
        <f t="shared" ca="1" si="270"/>
        <v>0.25760852969591586</v>
      </c>
      <c r="CH78" s="330">
        <f t="shared" ca="1" si="270"/>
        <v>0.2592423537200475</v>
      </c>
      <c r="CI78" s="330">
        <f t="shared" ca="1" si="270"/>
        <v>0.26099762800952209</v>
      </c>
      <c r="CJ78" s="330">
        <f t="shared" ref="CJ78:CM78" ca="1" si="275">-CJ22/CJ20</f>
        <v>0.25727128171667829</v>
      </c>
      <c r="CK78" s="330">
        <f t="shared" ca="1" si="275"/>
        <v>0.25614966127959948</v>
      </c>
      <c r="CL78" s="330">
        <f t="shared" ca="1" si="275"/>
        <v>0.25526319828313604</v>
      </c>
      <c r="CM78" s="330">
        <f t="shared" ca="1" si="275"/>
        <v>0.25716478122365566</v>
      </c>
      <c r="CN78" s="330">
        <f t="shared" ref="CN78:CQ78" ca="1" si="276">-CN22/CN20</f>
        <v>0.25257810799418551</v>
      </c>
      <c r="CO78" s="330">
        <f t="shared" ca="1" si="276"/>
        <v>0.25299968390968269</v>
      </c>
      <c r="CP78" s="330">
        <f t="shared" ca="1" si="276"/>
        <v>0.25612767986088336</v>
      </c>
      <c r="CQ78" s="330">
        <f t="shared" ca="1" si="276"/>
        <v>0.2568411958440584</v>
      </c>
    </row>
    <row r="79" spans="1:95" s="325" customFormat="1" ht="11.25" customHeight="1">
      <c r="A79" s="329" t="s">
        <v>332</v>
      </c>
      <c r="B79" s="331"/>
      <c r="C79" s="331" t="e">
        <f t="shared" ref="C79:S79" si="277">-C22/C133</f>
        <v>#DIV/0!</v>
      </c>
      <c r="D79" s="331" t="e">
        <f t="shared" si="277"/>
        <v>#DIV/0!</v>
      </c>
      <c r="E79" s="331" t="e">
        <f t="shared" si="277"/>
        <v>#DIV/0!</v>
      </c>
      <c r="F79" s="331" t="e">
        <f t="shared" si="277"/>
        <v>#DIV/0!</v>
      </c>
      <c r="G79" s="331" t="e">
        <f t="shared" si="277"/>
        <v>#DIV/0!</v>
      </c>
      <c r="H79" s="331" t="e">
        <f t="shared" si="277"/>
        <v>#DIV/0!</v>
      </c>
      <c r="I79" s="331">
        <f t="shared" si="277"/>
        <v>2.9152706183780682E-2</v>
      </c>
      <c r="J79" s="331">
        <f t="shared" si="277"/>
        <v>1.3342273140933732E-2</v>
      </c>
      <c r="K79" s="331">
        <f t="shared" si="277"/>
        <v>1.3501863157021862E-2</v>
      </c>
      <c r="L79" s="331">
        <f t="shared" si="277"/>
        <v>1.9530137573909086E-2</v>
      </c>
      <c r="M79" s="331">
        <f t="shared" si="277"/>
        <v>2.0801030534030155E-2</v>
      </c>
      <c r="N79" s="331">
        <f t="shared" si="277"/>
        <v>2.3800224094461919E-2</v>
      </c>
      <c r="O79" s="331">
        <f t="shared" si="277"/>
        <v>2.2099813893849005E-2</v>
      </c>
      <c r="P79" s="330">
        <f t="shared" si="277"/>
        <v>2.2202513742521121E-2</v>
      </c>
      <c r="Q79" s="330">
        <f t="shared" si="277"/>
        <v>2.1707345032325083E-2</v>
      </c>
      <c r="R79" s="330">
        <f t="shared" si="277"/>
        <v>2.1369544293018433E-2</v>
      </c>
      <c r="S79" s="330">
        <f t="shared" si="277"/>
        <v>2.0840272474725467E-2</v>
      </c>
      <c r="T79" s="330">
        <f t="shared" ref="T79:U79" si="278">-T22/T133</f>
        <v>2.0477190486317649E-2</v>
      </c>
      <c r="U79" s="330">
        <f t="shared" si="278"/>
        <v>2.0064841159883082E-2</v>
      </c>
      <c r="V79" s="323"/>
      <c r="W79" s="329" t="s">
        <v>332</v>
      </c>
      <c r="X79" s="331"/>
      <c r="Y79" s="331" t="e">
        <f t="shared" ref="Y79:BD79" si="279">(-Y22/Y133)*4</f>
        <v>#DIV/0!</v>
      </c>
      <c r="Z79" s="331" t="e">
        <f t="shared" si="279"/>
        <v>#DIV/0!</v>
      </c>
      <c r="AA79" s="331" t="e">
        <f t="shared" si="279"/>
        <v>#DIV/0!</v>
      </c>
      <c r="AB79" s="331" t="e">
        <f t="shared" si="279"/>
        <v>#DIV/0!</v>
      </c>
      <c r="AC79" s="331" t="e">
        <f t="shared" si="279"/>
        <v>#DIV/0!</v>
      </c>
      <c r="AD79" s="331" t="e">
        <f t="shared" si="279"/>
        <v>#DIV/0!</v>
      </c>
      <c r="AE79" s="331" t="e">
        <f t="shared" si="279"/>
        <v>#DIV/0!</v>
      </c>
      <c r="AF79" s="331" t="e">
        <f t="shared" si="279"/>
        <v>#DIV/0!</v>
      </c>
      <c r="AG79" s="331" t="e">
        <f t="shared" si="279"/>
        <v>#DIV/0!</v>
      </c>
      <c r="AH79" s="331" t="e">
        <f t="shared" si="279"/>
        <v>#DIV/0!</v>
      </c>
      <c r="AI79" s="331" t="e">
        <f t="shared" si="279"/>
        <v>#DIV/0!</v>
      </c>
      <c r="AJ79" s="331" t="e">
        <f t="shared" si="279"/>
        <v>#DIV/0!</v>
      </c>
      <c r="AK79" s="331" t="e">
        <f t="shared" si="279"/>
        <v>#DIV/0!</v>
      </c>
      <c r="AL79" s="331" t="e">
        <f t="shared" si="279"/>
        <v>#DIV/0!</v>
      </c>
      <c r="AM79" s="331" t="e">
        <f t="shared" si="279"/>
        <v>#DIV/0!</v>
      </c>
      <c r="AN79" s="331" t="e">
        <f t="shared" si="279"/>
        <v>#DIV/0!</v>
      </c>
      <c r="AO79" s="331" t="e">
        <f t="shared" si="279"/>
        <v>#DIV/0!</v>
      </c>
      <c r="AP79" s="331" t="e">
        <f t="shared" si="279"/>
        <v>#DIV/0!</v>
      </c>
      <c r="AQ79" s="331" t="e">
        <f t="shared" si="279"/>
        <v>#DIV/0!</v>
      </c>
      <c r="AR79" s="331">
        <f t="shared" si="279"/>
        <v>2.1147747274308421E-2</v>
      </c>
      <c r="AS79" s="331">
        <f t="shared" si="279"/>
        <v>2.0534632944524282E-2</v>
      </c>
      <c r="AT79" s="331">
        <f t="shared" si="279"/>
        <v>1.4353613071901149E-2</v>
      </c>
      <c r="AU79" s="331">
        <f t="shared" si="279"/>
        <v>1.5844172042172124E-2</v>
      </c>
      <c r="AV79" s="331">
        <f t="shared" si="279"/>
        <v>1.4595648173302972E-2</v>
      </c>
      <c r="AW79" s="331">
        <f t="shared" si="279"/>
        <v>1.0060237845420412E-2</v>
      </c>
      <c r="AX79" s="331">
        <f t="shared" si="279"/>
        <v>1.6016536793268685E-2</v>
      </c>
      <c r="AY79" s="331">
        <f t="shared" si="279"/>
        <v>1.3978747300557676E-2</v>
      </c>
      <c r="AZ79" s="331">
        <f t="shared" si="279"/>
        <v>1.1338473567862826E-2</v>
      </c>
      <c r="BA79" s="331">
        <f t="shared" si="279"/>
        <v>1.562191289050633E-2</v>
      </c>
      <c r="BB79" s="331">
        <f t="shared" si="279"/>
        <v>1.0418873295758154E-2</v>
      </c>
      <c r="BC79" s="331">
        <f t="shared" si="279"/>
        <v>1.6451766098876448E-2</v>
      </c>
      <c r="BD79" s="331">
        <f t="shared" si="279"/>
        <v>1.5645228414357563E-2</v>
      </c>
      <c r="BE79" s="331">
        <f t="shared" ref="BE79:CI79" si="280">(-BE22/BE133)*4</f>
        <v>2.3771275640792542E-2</v>
      </c>
      <c r="BF79" s="331">
        <f t="shared" si="280"/>
        <v>1.8944573351541583E-2</v>
      </c>
      <c r="BG79" s="332">
        <f t="shared" si="280"/>
        <v>1.9737908040017287E-2</v>
      </c>
      <c r="BH79" s="331">
        <f t="shared" si="280"/>
        <v>1.7675830150052411E-2</v>
      </c>
      <c r="BI79" s="331">
        <f t="shared" ref="BI79" si="281">(-BI22/BI133)*4</f>
        <v>2.1678508723129479E-2</v>
      </c>
      <c r="BJ79" s="331">
        <f t="shared" si="280"/>
        <v>2.1765654719610446E-2</v>
      </c>
      <c r="BK79" s="331">
        <f t="shared" si="280"/>
        <v>2.2043402765339153E-2</v>
      </c>
      <c r="BL79" s="331">
        <f t="shared" ref="BL79" si="282">(-BL22/BL133)*4</f>
        <v>2.1647383613026257E-2</v>
      </c>
      <c r="BM79" s="331">
        <f t="shared" si="280"/>
        <v>2.6723582132165302E-2</v>
      </c>
      <c r="BN79" s="331">
        <f t="shared" ref="BN79:BO79" si="283">(-BN22/BN133)*4</f>
        <v>2.3237391173877027E-2</v>
      </c>
      <c r="BO79" s="331">
        <f t="shared" si="283"/>
        <v>2.2485393214572432E-2</v>
      </c>
      <c r="BP79" s="331">
        <f t="shared" si="280"/>
        <v>2.4871966509259318E-2</v>
      </c>
      <c r="BQ79" s="331">
        <f t="shared" si="280"/>
        <v>2.0918251493946046E-2</v>
      </c>
      <c r="BR79" s="331">
        <f t="shared" ref="BR79:BS79" si="284">(-BR22/BR133)*4</f>
        <v>2.0749839701447895E-2</v>
      </c>
      <c r="BS79" s="331">
        <f t="shared" si="284"/>
        <v>2.25658930748899E-2</v>
      </c>
      <c r="BT79" s="330">
        <f t="shared" si="280"/>
        <v>2.1826562462437232E-2</v>
      </c>
      <c r="BU79" s="330">
        <f t="shared" si="280"/>
        <v>2.2127417053147191E-2</v>
      </c>
      <c r="BV79" s="330">
        <f t="shared" si="280"/>
        <v>2.1691184036468913E-2</v>
      </c>
      <c r="BW79" s="330">
        <f t="shared" si="280"/>
        <v>2.157927426625748E-2</v>
      </c>
      <c r="BX79" s="330">
        <f t="shared" si="280"/>
        <v>2.1201560884519622E-2</v>
      </c>
      <c r="BY79" s="330">
        <f t="shared" si="280"/>
        <v>2.1207664371861619E-2</v>
      </c>
      <c r="BZ79" s="330">
        <f t="shared" si="280"/>
        <v>2.1326694551656169E-2</v>
      </c>
      <c r="CA79" s="330">
        <f t="shared" si="280"/>
        <v>2.1810051050746168E-2</v>
      </c>
      <c r="CB79" s="330">
        <f t="shared" si="280"/>
        <v>2.1534990004588753E-2</v>
      </c>
      <c r="CC79" s="330">
        <f t="shared" si="280"/>
        <v>2.1384584762059514E-2</v>
      </c>
      <c r="CD79" s="330">
        <f t="shared" si="280"/>
        <v>2.0944850320920451E-2</v>
      </c>
      <c r="CE79" s="330">
        <f t="shared" si="280"/>
        <v>2.0737836062252001E-2</v>
      </c>
      <c r="CF79" s="330">
        <f t="shared" si="280"/>
        <v>2.0516961710492984E-2</v>
      </c>
      <c r="CG79" s="330">
        <f t="shared" si="280"/>
        <v>2.0676872429165785E-2</v>
      </c>
      <c r="CH79" s="330">
        <f t="shared" si="280"/>
        <v>2.0671317714798017E-2</v>
      </c>
      <c r="CI79" s="330">
        <f t="shared" si="280"/>
        <v>2.0848858211614616E-2</v>
      </c>
      <c r="CJ79" s="330">
        <f t="shared" ref="CJ79:CM79" si="285">(-CJ22/CJ133)*4</f>
        <v>2.0492353086322117E-2</v>
      </c>
      <c r="CK79" s="330">
        <f t="shared" si="285"/>
        <v>2.0413275328345668E-2</v>
      </c>
      <c r="CL79" s="330">
        <f t="shared" si="285"/>
        <v>2.0299870100945253E-2</v>
      </c>
      <c r="CM79" s="330">
        <f t="shared" si="285"/>
        <v>2.0460167930052783E-2</v>
      </c>
      <c r="CN79" s="330">
        <f t="shared" ref="CN79:CQ79" si="286">(-CN22/CN133)*4</f>
        <v>1.9962279308569111E-2</v>
      </c>
      <c r="CO79" s="330">
        <f t="shared" si="286"/>
        <v>1.9985459935253681E-2</v>
      </c>
      <c r="CP79" s="330">
        <f t="shared" si="286"/>
        <v>2.0175350635264225E-2</v>
      </c>
      <c r="CQ79" s="330">
        <f t="shared" si="286"/>
        <v>2.0223669126262497E-2</v>
      </c>
    </row>
    <row r="80" spans="1:95" s="325" customFormat="1" ht="11.25" customHeight="1">
      <c r="A80" s="329" t="s">
        <v>331</v>
      </c>
      <c r="B80" s="331"/>
      <c r="C80" s="331" t="e">
        <f t="shared" ref="C80:S80" si="287">-C40/(C38+C41)</f>
        <v>#DIV/0!</v>
      </c>
      <c r="D80" s="331" t="e">
        <f t="shared" si="287"/>
        <v>#DIV/0!</v>
      </c>
      <c r="E80" s="331" t="e">
        <f t="shared" si="287"/>
        <v>#DIV/0!</v>
      </c>
      <c r="F80" s="331" t="e">
        <f t="shared" si="287"/>
        <v>#DIV/0!</v>
      </c>
      <c r="G80" s="331" t="e">
        <f t="shared" si="287"/>
        <v>#DIV/0!</v>
      </c>
      <c r="H80" s="331" t="e">
        <f t="shared" si="287"/>
        <v>#DIV/0!</v>
      </c>
      <c r="I80" s="331">
        <f t="shared" si="287"/>
        <v>0.21647949107401385</v>
      </c>
      <c r="J80" s="331">
        <f t="shared" si="287"/>
        <v>0.23665385407727321</v>
      </c>
      <c r="K80" s="331">
        <f t="shared" si="287"/>
        <v>0.22003607166746245</v>
      </c>
      <c r="L80" s="331">
        <f t="shared" si="287"/>
        <v>0.23712809035671256</v>
      </c>
      <c r="M80" s="331">
        <f t="shared" si="287"/>
        <v>0.33300789194305985</v>
      </c>
      <c r="N80" s="331">
        <f t="shared" si="287"/>
        <v>0.27388411843959737</v>
      </c>
      <c r="O80" s="331">
        <f t="shared" si="287"/>
        <v>0.27200369864552826</v>
      </c>
      <c r="P80" s="330">
        <f t="shared" ca="1" si="287"/>
        <v>0.26726468872725789</v>
      </c>
      <c r="Q80" s="330">
        <f t="shared" ca="1" si="287"/>
        <v>0.24999999999999983</v>
      </c>
      <c r="R80" s="330">
        <f t="shared" ca="1" si="287"/>
        <v>0.23999999999999996</v>
      </c>
      <c r="S80" s="330">
        <f t="shared" ca="1" si="287"/>
        <v>0.24</v>
      </c>
      <c r="T80" s="330">
        <f t="shared" ref="T80:U80" ca="1" si="288">-T40/(T38+T41)</f>
        <v>0.23999999999999991</v>
      </c>
      <c r="U80" s="330">
        <f t="shared" ca="1" si="288"/>
        <v>0.2400000000000001</v>
      </c>
      <c r="V80" s="323"/>
      <c r="W80" s="329" t="s">
        <v>331</v>
      </c>
      <c r="X80" s="331"/>
      <c r="Y80" s="331" t="e">
        <f t="shared" ref="Y80:BD80" si="289">-Y40/(Y38+Y41)</f>
        <v>#DIV/0!</v>
      </c>
      <c r="Z80" s="331" t="e">
        <f t="shared" si="289"/>
        <v>#DIV/0!</v>
      </c>
      <c r="AA80" s="331" t="e">
        <f t="shared" si="289"/>
        <v>#DIV/0!</v>
      </c>
      <c r="AB80" s="331" t="e">
        <f t="shared" si="289"/>
        <v>#DIV/0!</v>
      </c>
      <c r="AC80" s="331" t="e">
        <f t="shared" si="289"/>
        <v>#DIV/0!</v>
      </c>
      <c r="AD80" s="331" t="e">
        <f t="shared" si="289"/>
        <v>#DIV/0!</v>
      </c>
      <c r="AE80" s="331" t="e">
        <f t="shared" si="289"/>
        <v>#DIV/0!</v>
      </c>
      <c r="AF80" s="331" t="e">
        <f t="shared" si="289"/>
        <v>#DIV/0!</v>
      </c>
      <c r="AG80" s="331" t="e">
        <f t="shared" si="289"/>
        <v>#DIV/0!</v>
      </c>
      <c r="AH80" s="331" t="e">
        <f t="shared" si="289"/>
        <v>#DIV/0!</v>
      </c>
      <c r="AI80" s="331" t="e">
        <f t="shared" si="289"/>
        <v>#DIV/0!</v>
      </c>
      <c r="AJ80" s="331" t="e">
        <f t="shared" si="289"/>
        <v>#DIV/0!</v>
      </c>
      <c r="AK80" s="331" t="e">
        <f t="shared" si="289"/>
        <v>#DIV/0!</v>
      </c>
      <c r="AL80" s="331" t="e">
        <f t="shared" si="289"/>
        <v>#DIV/0!</v>
      </c>
      <c r="AM80" s="331" t="e">
        <f t="shared" si="289"/>
        <v>#DIV/0!</v>
      </c>
      <c r="AN80" s="331" t="e">
        <f t="shared" si="289"/>
        <v>#DIV/0!</v>
      </c>
      <c r="AO80" s="331" t="e">
        <f t="shared" si="289"/>
        <v>#DIV/0!</v>
      </c>
      <c r="AP80" s="331" t="e">
        <f t="shared" si="289"/>
        <v>#DIV/0!</v>
      </c>
      <c r="AQ80" s="331" t="e">
        <f t="shared" si="289"/>
        <v>#DIV/0!</v>
      </c>
      <c r="AR80" s="331">
        <f t="shared" si="289"/>
        <v>0.22295820317489859</v>
      </c>
      <c r="AS80" s="331">
        <f t="shared" si="289"/>
        <v>0.27069904389574723</v>
      </c>
      <c r="AT80" s="331">
        <f t="shared" si="289"/>
        <v>0.23355419392669494</v>
      </c>
      <c r="AU80" s="331">
        <f t="shared" si="289"/>
        <v>0.12737361093273639</v>
      </c>
      <c r="AV80" s="331">
        <f t="shared" si="289"/>
        <v>0.22975078126876541</v>
      </c>
      <c r="AW80" s="331">
        <f t="shared" si="289"/>
        <v>0.24735569755982592</v>
      </c>
      <c r="AX80" s="331">
        <f t="shared" si="289"/>
        <v>0.24919223317005107</v>
      </c>
      <c r="AY80" s="331">
        <f t="shared" si="289"/>
        <v>0.21255781998868298</v>
      </c>
      <c r="AZ80" s="331">
        <f t="shared" si="289"/>
        <v>0.25381992413109217</v>
      </c>
      <c r="BA80" s="331">
        <f t="shared" si="289"/>
        <v>0.19533655360425842</v>
      </c>
      <c r="BB80" s="331">
        <f t="shared" si="289"/>
        <v>0.25172632199989953</v>
      </c>
      <c r="BC80" s="331">
        <f t="shared" si="289"/>
        <v>0.17819347730559293</v>
      </c>
      <c r="BD80" s="331">
        <f t="shared" si="289"/>
        <v>0.23754733601909014</v>
      </c>
      <c r="BE80" s="331">
        <f t="shared" ref="BE80:CI80" si="290">-BE40/(BE38+BE41)</f>
        <v>0.24899145963730732</v>
      </c>
      <c r="BF80" s="331">
        <f t="shared" si="290"/>
        <v>0.23416309049523049</v>
      </c>
      <c r="BG80" s="332">
        <f t="shared" si="290"/>
        <v>0.22934201056075235</v>
      </c>
      <c r="BH80" s="331">
        <f t="shared" si="290"/>
        <v>0.2807506747320464</v>
      </c>
      <c r="BI80" s="331">
        <f t="shared" ref="BI80" si="291">-BI40/(BI38+BI41)</f>
        <v>0.56800115386066541</v>
      </c>
      <c r="BJ80" s="331">
        <f t="shared" si="290"/>
        <v>0.28956258796761186</v>
      </c>
      <c r="BK80" s="331">
        <f t="shared" si="290"/>
        <v>0.31031120837995968</v>
      </c>
      <c r="BL80" s="331">
        <f t="shared" ref="BL80" si="292">-BL40/(BL38+BL41)</f>
        <v>0.25538605320086333</v>
      </c>
      <c r="BM80" s="331">
        <f t="shared" si="290"/>
        <v>0.25469599389527015</v>
      </c>
      <c r="BN80" s="331">
        <f t="shared" ref="BN80:BO80" si="293">-BN40/(BN38+BN41)</f>
        <v>0.29490436309893542</v>
      </c>
      <c r="BO80" s="331">
        <f t="shared" si="293"/>
        <v>0.28772081265221822</v>
      </c>
      <c r="BP80" s="331">
        <f t="shared" si="290"/>
        <v>0.27081258390935781</v>
      </c>
      <c r="BQ80" s="331">
        <f t="shared" si="290"/>
        <v>0.27335405134793028</v>
      </c>
      <c r="BR80" s="331">
        <f t="shared" ref="BR80:BS80" si="294">-BR40/(BR38+BR41)</f>
        <v>0.26556695519284784</v>
      </c>
      <c r="BS80" s="331">
        <f t="shared" si="294"/>
        <v>0.27824500507561989</v>
      </c>
      <c r="BT80" s="330">
        <f t="shared" ca="1" si="290"/>
        <v>0.27500000000000019</v>
      </c>
      <c r="BU80" s="330">
        <f t="shared" ca="1" si="290"/>
        <v>0.2699999999999998</v>
      </c>
      <c r="BV80" s="330">
        <f t="shared" ca="1" si="290"/>
        <v>0.26499999999999996</v>
      </c>
      <c r="BW80" s="330">
        <f t="shared" ca="1" si="290"/>
        <v>0.25999999999999995</v>
      </c>
      <c r="BX80" s="330">
        <f t="shared" ca="1" si="290"/>
        <v>0.24999999999999997</v>
      </c>
      <c r="BY80" s="330">
        <f t="shared" ca="1" si="290"/>
        <v>0.25000000000000006</v>
      </c>
      <c r="BZ80" s="330">
        <f t="shared" ca="1" si="290"/>
        <v>0.24999999999999997</v>
      </c>
      <c r="CA80" s="330">
        <f t="shared" ca="1" si="290"/>
        <v>0.25</v>
      </c>
      <c r="CB80" s="330">
        <f t="shared" ca="1" si="290"/>
        <v>0.24000000000000007</v>
      </c>
      <c r="CC80" s="330">
        <f t="shared" ca="1" si="290"/>
        <v>0.24000000000000007</v>
      </c>
      <c r="CD80" s="330">
        <f t="shared" ca="1" si="290"/>
        <v>0.24000000000000002</v>
      </c>
      <c r="CE80" s="330">
        <f t="shared" ca="1" si="290"/>
        <v>0.24000000000000005</v>
      </c>
      <c r="CF80" s="330">
        <f t="shared" ca="1" si="290"/>
        <v>0.24</v>
      </c>
      <c r="CG80" s="330">
        <f t="shared" ca="1" si="290"/>
        <v>0.23999999999999991</v>
      </c>
      <c r="CH80" s="330">
        <f t="shared" ca="1" si="290"/>
        <v>0.24000000000000002</v>
      </c>
      <c r="CI80" s="330">
        <f t="shared" ca="1" si="290"/>
        <v>0.23999999999999985</v>
      </c>
      <c r="CJ80" s="330">
        <f t="shared" ref="CJ80:CM80" ca="1" si="295">-CJ40/(CJ38+CJ41)</f>
        <v>0.2400000000000001</v>
      </c>
      <c r="CK80" s="330">
        <f t="shared" ca="1" si="295"/>
        <v>0.23999999999999996</v>
      </c>
      <c r="CL80" s="330">
        <f t="shared" ca="1" si="295"/>
        <v>0.23999999999999996</v>
      </c>
      <c r="CM80" s="330">
        <f t="shared" ca="1" si="295"/>
        <v>0.24</v>
      </c>
      <c r="CN80" s="330">
        <f t="shared" ref="CN80:CQ80" ca="1" si="296">-CN40/(CN38+CN41)</f>
        <v>0.23999999999999996</v>
      </c>
      <c r="CO80" s="330">
        <f t="shared" ca="1" si="296"/>
        <v>0.24000000000000005</v>
      </c>
      <c r="CP80" s="330">
        <f t="shared" ca="1" si="296"/>
        <v>0.24000000000000005</v>
      </c>
      <c r="CQ80" s="330">
        <f t="shared" ca="1" si="296"/>
        <v>0.23999999999999996</v>
      </c>
    </row>
    <row r="81" spans="1:95" s="325" customFormat="1" ht="11.25" customHeight="1">
      <c r="A81" s="329"/>
      <c r="P81" s="326"/>
      <c r="Q81" s="326"/>
      <c r="R81" s="326"/>
      <c r="S81" s="326"/>
      <c r="T81" s="326"/>
      <c r="U81" s="326"/>
      <c r="V81" s="323"/>
      <c r="W81" s="329"/>
      <c r="X81" s="329"/>
      <c r="Y81" s="329"/>
      <c r="Z81" s="329"/>
      <c r="AA81" s="329"/>
      <c r="AB81" s="329"/>
      <c r="AC81" s="329"/>
      <c r="AD81" s="329"/>
      <c r="AE81" s="329"/>
      <c r="AF81" s="329"/>
      <c r="AG81" s="329"/>
      <c r="AH81" s="329"/>
      <c r="AI81" s="329"/>
      <c r="AJ81" s="329"/>
      <c r="AK81" s="329"/>
      <c r="AL81" s="329"/>
      <c r="AM81" s="329"/>
      <c r="AN81" s="329"/>
      <c r="AO81" s="329"/>
      <c r="AP81" s="329"/>
      <c r="AQ81" s="329"/>
      <c r="AR81" s="329"/>
      <c r="AS81" s="329"/>
      <c r="AT81" s="329"/>
      <c r="AU81" s="329"/>
      <c r="AV81" s="329"/>
      <c r="AW81" s="329"/>
      <c r="AX81" s="329"/>
      <c r="AY81" s="329"/>
      <c r="AZ81" s="329"/>
      <c r="BA81" s="329"/>
      <c r="BB81" s="329"/>
      <c r="BC81" s="329"/>
      <c r="BD81" s="329"/>
      <c r="BE81" s="329"/>
      <c r="BF81" s="329"/>
      <c r="BG81" s="349"/>
      <c r="BH81" s="329"/>
      <c r="BI81" s="329"/>
      <c r="BJ81" s="329"/>
      <c r="BK81" s="329"/>
      <c r="BL81" s="329"/>
      <c r="BM81" s="329"/>
      <c r="BN81" s="329"/>
      <c r="BO81" s="329"/>
      <c r="BP81" s="329"/>
      <c r="BQ81" s="329"/>
      <c r="BR81" s="329"/>
      <c r="BS81" s="329"/>
      <c r="BT81" s="348"/>
      <c r="BU81" s="348"/>
      <c r="BV81" s="348"/>
      <c r="BW81" s="348"/>
      <c r="BX81" s="348"/>
      <c r="BY81" s="348"/>
      <c r="BZ81" s="348"/>
      <c r="CA81" s="348"/>
      <c r="CB81" s="348"/>
      <c r="CC81" s="348"/>
      <c r="CD81" s="348"/>
      <c r="CE81" s="348"/>
      <c r="CF81" s="348"/>
      <c r="CG81" s="348"/>
      <c r="CH81" s="348"/>
      <c r="CI81" s="348"/>
      <c r="CJ81" s="348"/>
      <c r="CK81" s="348"/>
      <c r="CL81" s="348"/>
      <c r="CM81" s="348"/>
      <c r="CN81" s="348"/>
      <c r="CO81" s="348"/>
      <c r="CP81" s="348"/>
      <c r="CQ81" s="348"/>
    </row>
    <row r="82" spans="1:95" s="325" customFormat="1" ht="11.25" customHeight="1">
      <c r="A82" s="354" t="s">
        <v>330</v>
      </c>
      <c r="B82" s="299">
        <f t="shared" ref="B82:S82" si="297">B67</f>
        <v>2002</v>
      </c>
      <c r="C82" s="299">
        <f t="shared" si="297"/>
        <v>2003</v>
      </c>
      <c r="D82" s="299">
        <f t="shared" si="297"/>
        <v>2004</v>
      </c>
      <c r="E82" s="299">
        <f t="shared" si="297"/>
        <v>2005</v>
      </c>
      <c r="F82" s="299">
        <f t="shared" si="297"/>
        <v>2006</v>
      </c>
      <c r="G82" s="299">
        <f t="shared" si="297"/>
        <v>2007</v>
      </c>
      <c r="H82" s="299">
        <f t="shared" si="297"/>
        <v>2008</v>
      </c>
      <c r="I82" s="299">
        <f t="shared" si="297"/>
        <v>2009</v>
      </c>
      <c r="J82" s="299">
        <f t="shared" si="297"/>
        <v>2010</v>
      </c>
      <c r="K82" s="299">
        <f t="shared" si="297"/>
        <v>2011</v>
      </c>
      <c r="L82" s="299">
        <f t="shared" si="297"/>
        <v>2012</v>
      </c>
      <c r="M82" s="299">
        <f t="shared" si="297"/>
        <v>2013</v>
      </c>
      <c r="N82" s="299">
        <f t="shared" si="297"/>
        <v>2014</v>
      </c>
      <c r="O82" s="299">
        <f t="shared" si="297"/>
        <v>2015</v>
      </c>
      <c r="P82" s="181" t="str">
        <f t="shared" si="297"/>
        <v>2016E</v>
      </c>
      <c r="Q82" s="181" t="str">
        <f t="shared" si="297"/>
        <v>2017E</v>
      </c>
      <c r="R82" s="181" t="str">
        <f t="shared" si="297"/>
        <v>2018E</v>
      </c>
      <c r="S82" s="181" t="str">
        <f t="shared" si="297"/>
        <v>2019E</v>
      </c>
      <c r="T82" s="181" t="str">
        <f t="shared" ref="T82:U82" si="298">T67</f>
        <v>2020E</v>
      </c>
      <c r="U82" s="181" t="str">
        <f t="shared" si="298"/>
        <v>2021E</v>
      </c>
      <c r="V82" s="323"/>
      <c r="W82" s="371" t="s">
        <v>330</v>
      </c>
      <c r="X82" s="371"/>
      <c r="Y82" s="352" t="str">
        <f t="shared" ref="Y82:BD82" si="299">Y67</f>
        <v>2Q04</v>
      </c>
      <c r="Z82" s="352" t="str">
        <f t="shared" si="299"/>
        <v>3Q04</v>
      </c>
      <c r="AA82" s="352" t="str">
        <f t="shared" si="299"/>
        <v>4Q04</v>
      </c>
      <c r="AB82" s="352" t="str">
        <f t="shared" si="299"/>
        <v>1Q05</v>
      </c>
      <c r="AC82" s="352" t="str">
        <f t="shared" si="299"/>
        <v>2Q05</v>
      </c>
      <c r="AD82" s="352" t="str">
        <f t="shared" si="299"/>
        <v>3Q05</v>
      </c>
      <c r="AE82" s="352" t="str">
        <f t="shared" si="299"/>
        <v>4Q05</v>
      </c>
      <c r="AF82" s="352" t="str">
        <f t="shared" si="299"/>
        <v>1Q06</v>
      </c>
      <c r="AG82" s="352" t="str">
        <f t="shared" si="299"/>
        <v>2Q06</v>
      </c>
      <c r="AH82" s="352" t="str">
        <f t="shared" si="299"/>
        <v>3Q06</v>
      </c>
      <c r="AI82" s="352" t="str">
        <f t="shared" si="299"/>
        <v>4Q06</v>
      </c>
      <c r="AJ82" s="352" t="str">
        <f t="shared" si="299"/>
        <v>1Q07</v>
      </c>
      <c r="AK82" s="352" t="str">
        <f t="shared" si="299"/>
        <v>2Q07</v>
      </c>
      <c r="AL82" s="352" t="str">
        <f t="shared" si="299"/>
        <v>3Q07</v>
      </c>
      <c r="AM82" s="352" t="str">
        <f t="shared" si="299"/>
        <v>4Q07</v>
      </c>
      <c r="AN82" s="352" t="str">
        <f t="shared" si="299"/>
        <v>1Q08</v>
      </c>
      <c r="AO82" s="352" t="str">
        <f t="shared" si="299"/>
        <v>2Q08</v>
      </c>
      <c r="AP82" s="352" t="str">
        <f t="shared" si="299"/>
        <v>3Q08</v>
      </c>
      <c r="AQ82" s="352" t="str">
        <f t="shared" si="299"/>
        <v>4Q08</v>
      </c>
      <c r="AR82" s="352" t="str">
        <f t="shared" si="299"/>
        <v>1Q09</v>
      </c>
      <c r="AS82" s="352" t="str">
        <f t="shared" si="299"/>
        <v>2Q09</v>
      </c>
      <c r="AT82" s="352" t="str">
        <f t="shared" si="299"/>
        <v>3Q09</v>
      </c>
      <c r="AU82" s="352" t="str">
        <f t="shared" si="299"/>
        <v>4Q09</v>
      </c>
      <c r="AV82" s="352" t="str">
        <f t="shared" si="299"/>
        <v>1Q10</v>
      </c>
      <c r="AW82" s="352" t="str">
        <f t="shared" si="299"/>
        <v>2Q10</v>
      </c>
      <c r="AX82" s="352" t="str">
        <f t="shared" si="299"/>
        <v>3Q10</v>
      </c>
      <c r="AY82" s="352" t="str">
        <f t="shared" si="299"/>
        <v>4Q10</v>
      </c>
      <c r="AZ82" s="352" t="str">
        <f t="shared" si="299"/>
        <v>1Q11</v>
      </c>
      <c r="BA82" s="352" t="str">
        <f t="shared" si="299"/>
        <v>2Q11</v>
      </c>
      <c r="BB82" s="352" t="str">
        <f t="shared" si="299"/>
        <v>3Q11</v>
      </c>
      <c r="BC82" s="352" t="str">
        <f t="shared" si="299"/>
        <v>4Q11</v>
      </c>
      <c r="BD82" s="352" t="str">
        <f t="shared" si="299"/>
        <v>1Q12</v>
      </c>
      <c r="BE82" s="352" t="str">
        <f t="shared" ref="BE82:CI82" si="300">BE67</f>
        <v>2Q12</v>
      </c>
      <c r="BF82" s="352" t="str">
        <f t="shared" si="300"/>
        <v>3Q12</v>
      </c>
      <c r="BG82" s="353" t="str">
        <f t="shared" si="300"/>
        <v>4Q12</v>
      </c>
      <c r="BH82" s="352" t="str">
        <f t="shared" si="300"/>
        <v>1Q13</v>
      </c>
      <c r="BI82" s="352" t="str">
        <f t="shared" ref="BI82" si="301">BI67</f>
        <v>2Q13</v>
      </c>
      <c r="BJ82" s="352" t="str">
        <f t="shared" si="300"/>
        <v>3Q13</v>
      </c>
      <c r="BK82" s="352" t="str">
        <f t="shared" si="300"/>
        <v>4Q13</v>
      </c>
      <c r="BL82" s="352" t="str">
        <f t="shared" ref="BL82" si="302">BL67</f>
        <v>1Q14</v>
      </c>
      <c r="BM82" s="352" t="str">
        <f t="shared" si="300"/>
        <v>2Q14</v>
      </c>
      <c r="BN82" s="352" t="str">
        <f t="shared" ref="BN82:BO82" si="303">BN67</f>
        <v>3Q14</v>
      </c>
      <c r="BO82" s="352" t="str">
        <f t="shared" si="303"/>
        <v>4Q14</v>
      </c>
      <c r="BP82" s="352" t="str">
        <f t="shared" si="300"/>
        <v>1Q15</v>
      </c>
      <c r="BQ82" s="352" t="str">
        <f t="shared" si="300"/>
        <v>2Q15</v>
      </c>
      <c r="BR82" s="352" t="str">
        <f t="shared" ref="BR82:BS82" si="304">BR67</f>
        <v>3Q15</v>
      </c>
      <c r="BS82" s="352" t="str">
        <f t="shared" si="304"/>
        <v>4Q15</v>
      </c>
      <c r="BT82" s="181" t="str">
        <f t="shared" si="300"/>
        <v>1Q16E</v>
      </c>
      <c r="BU82" s="181" t="str">
        <f t="shared" si="300"/>
        <v>2Q16E</v>
      </c>
      <c r="BV82" s="181" t="str">
        <f t="shared" si="300"/>
        <v>3Q16E</v>
      </c>
      <c r="BW82" s="181" t="str">
        <f t="shared" si="300"/>
        <v>4Q16E</v>
      </c>
      <c r="BX82" s="181" t="str">
        <f t="shared" si="300"/>
        <v>1Q17E</v>
      </c>
      <c r="BY82" s="181" t="str">
        <f t="shared" si="300"/>
        <v>2Q17E</v>
      </c>
      <c r="BZ82" s="181" t="str">
        <f t="shared" si="300"/>
        <v>3Q17E</v>
      </c>
      <c r="CA82" s="181" t="str">
        <f t="shared" si="300"/>
        <v>4Q17E</v>
      </c>
      <c r="CB82" s="181" t="str">
        <f t="shared" si="300"/>
        <v>1Q18E</v>
      </c>
      <c r="CC82" s="181" t="str">
        <f t="shared" si="300"/>
        <v>2Q18E</v>
      </c>
      <c r="CD82" s="181" t="str">
        <f t="shared" si="300"/>
        <v>3Q18E</v>
      </c>
      <c r="CE82" s="181" t="str">
        <f t="shared" si="300"/>
        <v>4Q18E</v>
      </c>
      <c r="CF82" s="181" t="str">
        <f t="shared" si="300"/>
        <v>1Q19E</v>
      </c>
      <c r="CG82" s="181" t="str">
        <f t="shared" si="300"/>
        <v>2Q19E</v>
      </c>
      <c r="CH82" s="181" t="str">
        <f t="shared" si="300"/>
        <v>3Q19E</v>
      </c>
      <c r="CI82" s="181" t="str">
        <f t="shared" si="300"/>
        <v>4Q19E</v>
      </c>
      <c r="CJ82" s="181" t="str">
        <f t="shared" ref="CJ82:CM82" si="305">CJ67</f>
        <v>1Q20E</v>
      </c>
      <c r="CK82" s="181" t="str">
        <f t="shared" si="305"/>
        <v>2Q20E</v>
      </c>
      <c r="CL82" s="181" t="str">
        <f t="shared" si="305"/>
        <v>3Q20E</v>
      </c>
      <c r="CM82" s="181" t="str">
        <f t="shared" si="305"/>
        <v>4Q20E</v>
      </c>
      <c r="CN82" s="181" t="str">
        <f t="shared" ref="CN82:CQ82" si="306">CN67</f>
        <v>1Q21E</v>
      </c>
      <c r="CO82" s="181" t="str">
        <f t="shared" si="306"/>
        <v>2Q21E</v>
      </c>
      <c r="CP82" s="181" t="str">
        <f t="shared" si="306"/>
        <v>3Q21E</v>
      </c>
      <c r="CQ82" s="181" t="str">
        <f t="shared" si="306"/>
        <v>4Q21E</v>
      </c>
    </row>
    <row r="83" spans="1:95" s="325" customFormat="1" ht="11.25" customHeight="1">
      <c r="A83" s="329" t="s">
        <v>322</v>
      </c>
      <c r="B83" s="374"/>
      <c r="C83" s="374"/>
      <c r="D83" s="374" t="e">
        <f t="shared" ref="D83:U83" si="307">+D20/C20-1</f>
        <v>#DIV/0!</v>
      </c>
      <c r="E83" s="374" t="e">
        <f t="shared" si="307"/>
        <v>#DIV/0!</v>
      </c>
      <c r="F83" s="374" t="e">
        <f t="shared" si="307"/>
        <v>#DIV/0!</v>
      </c>
      <c r="G83" s="374" t="e">
        <f t="shared" si="307"/>
        <v>#DIV/0!</v>
      </c>
      <c r="H83" s="374" t="e">
        <f t="shared" si="307"/>
        <v>#DIV/0!</v>
      </c>
      <c r="I83" s="374" t="e">
        <f t="shared" si="307"/>
        <v>#DIV/0!</v>
      </c>
      <c r="J83" s="374">
        <f t="shared" si="307"/>
        <v>0.10275441328178436</v>
      </c>
      <c r="K83" s="374">
        <f t="shared" si="307"/>
        <v>0.20282315666173245</v>
      </c>
      <c r="L83" s="374">
        <f t="shared" si="307"/>
        <v>0.18071515897717738</v>
      </c>
      <c r="M83" s="374">
        <f t="shared" si="307"/>
        <v>0.17017916654537402</v>
      </c>
      <c r="N83" s="374">
        <f t="shared" si="307"/>
        <v>0.29111486275936249</v>
      </c>
      <c r="O83" s="374">
        <f t="shared" si="307"/>
        <v>0.16460578753955835</v>
      </c>
      <c r="P83" s="373">
        <f t="shared" ca="1" si="307"/>
        <v>0.10044696273337683</v>
      </c>
      <c r="Q83" s="373">
        <f t="shared" ca="1" si="307"/>
        <v>0.1012196167282764</v>
      </c>
      <c r="R83" s="373">
        <f t="shared" ca="1" si="307"/>
        <v>0.11032935781671704</v>
      </c>
      <c r="S83" s="373">
        <f t="shared" ca="1" si="307"/>
        <v>0.10743309165787673</v>
      </c>
      <c r="T83" s="373">
        <f t="shared" ca="1" si="307"/>
        <v>0.118946830063142</v>
      </c>
      <c r="U83" s="373">
        <f t="shared" ca="1" si="307"/>
        <v>0.12200810967543552</v>
      </c>
      <c r="V83" s="323"/>
      <c r="W83" s="329" t="s">
        <v>322</v>
      </c>
      <c r="X83" s="374"/>
      <c r="Y83" s="374" t="e">
        <f t="shared" ref="Y83:BD83" si="308">+Y20/X20-1</f>
        <v>#DIV/0!</v>
      </c>
      <c r="Z83" s="374" t="e">
        <f t="shared" si="308"/>
        <v>#DIV/0!</v>
      </c>
      <c r="AA83" s="374" t="e">
        <f t="shared" si="308"/>
        <v>#DIV/0!</v>
      </c>
      <c r="AB83" s="374" t="e">
        <f t="shared" si="308"/>
        <v>#DIV/0!</v>
      </c>
      <c r="AC83" s="374" t="e">
        <f t="shared" si="308"/>
        <v>#DIV/0!</v>
      </c>
      <c r="AD83" s="374" t="e">
        <f t="shared" si="308"/>
        <v>#DIV/0!</v>
      </c>
      <c r="AE83" s="374" t="e">
        <f t="shared" si="308"/>
        <v>#DIV/0!</v>
      </c>
      <c r="AF83" s="374" t="e">
        <f t="shared" si="308"/>
        <v>#DIV/0!</v>
      </c>
      <c r="AG83" s="374" t="e">
        <f t="shared" si="308"/>
        <v>#DIV/0!</v>
      </c>
      <c r="AH83" s="374" t="e">
        <f t="shared" si="308"/>
        <v>#DIV/0!</v>
      </c>
      <c r="AI83" s="374" t="e">
        <f t="shared" si="308"/>
        <v>#DIV/0!</v>
      </c>
      <c r="AJ83" s="374" t="e">
        <f t="shared" si="308"/>
        <v>#DIV/0!</v>
      </c>
      <c r="AK83" s="374" t="e">
        <f t="shared" si="308"/>
        <v>#DIV/0!</v>
      </c>
      <c r="AL83" s="374" t="e">
        <f t="shared" si="308"/>
        <v>#DIV/0!</v>
      </c>
      <c r="AM83" s="374" t="e">
        <f t="shared" si="308"/>
        <v>#DIV/0!</v>
      </c>
      <c r="AN83" s="374" t="e">
        <f t="shared" si="308"/>
        <v>#DIV/0!</v>
      </c>
      <c r="AO83" s="374" t="e">
        <f t="shared" si="308"/>
        <v>#DIV/0!</v>
      </c>
      <c r="AP83" s="374" t="e">
        <f t="shared" si="308"/>
        <v>#DIV/0!</v>
      </c>
      <c r="AQ83" s="374" t="e">
        <f t="shared" si="308"/>
        <v>#DIV/0!</v>
      </c>
      <c r="AR83" s="374" t="e">
        <f t="shared" si="308"/>
        <v>#DIV/0!</v>
      </c>
      <c r="AS83" s="374">
        <f t="shared" si="308"/>
        <v>6.5370237454259961E-2</v>
      </c>
      <c r="AT83" s="374">
        <f t="shared" si="308"/>
        <v>-5.3864293111276162E-2</v>
      </c>
      <c r="AU83" s="374">
        <f t="shared" si="308"/>
        <v>3.8177705465170186E-2</v>
      </c>
      <c r="AV83" s="374">
        <f t="shared" si="308"/>
        <v>1.6451010865679239E-2</v>
      </c>
      <c r="AW83" s="374">
        <f t="shared" si="308"/>
        <v>4.9153438061769972E-2</v>
      </c>
      <c r="AX83" s="374">
        <f t="shared" si="308"/>
        <v>3.6534447022266381E-2</v>
      </c>
      <c r="AY83" s="374">
        <f t="shared" si="308"/>
        <v>4.324892512846179E-2</v>
      </c>
      <c r="AZ83" s="374">
        <f t="shared" si="308"/>
        <v>8.8205973345650168E-2</v>
      </c>
      <c r="BA83" s="374">
        <f t="shared" si="308"/>
        <v>-1.0226414468732514E-3</v>
      </c>
      <c r="BB83" s="374">
        <f t="shared" si="308"/>
        <v>5.2017628278461681E-2</v>
      </c>
      <c r="BC83" s="374">
        <f t="shared" si="308"/>
        <v>5.7473995070639106E-2</v>
      </c>
      <c r="BD83" s="374">
        <f t="shared" si="308"/>
        <v>3.8610128542757138E-2</v>
      </c>
      <c r="BE83" s="374">
        <f t="shared" ref="BE83:CI83" si="309">+BE20/BD20-1</f>
        <v>5.6198783896110882E-2</v>
      </c>
      <c r="BF83" s="374">
        <f t="shared" si="309"/>
        <v>3.0349100381666716E-2</v>
      </c>
      <c r="BG83" s="375">
        <f t="shared" si="309"/>
        <v>2.2015323176048929E-2</v>
      </c>
      <c r="BH83" s="374">
        <f t="shared" si="309"/>
        <v>5.0598140338174558E-2</v>
      </c>
      <c r="BI83" s="374">
        <f t="shared" si="309"/>
        <v>2.9479753716028734E-2</v>
      </c>
      <c r="BJ83" s="374">
        <f t="shared" si="309"/>
        <v>6.8909762227435722E-2</v>
      </c>
      <c r="BK83" s="374">
        <f t="shared" si="309"/>
        <v>2.9538343080955709E-2</v>
      </c>
      <c r="BL83" s="374">
        <f t="shared" si="309"/>
        <v>6.2376653506063029E-2</v>
      </c>
      <c r="BM83" s="374">
        <f t="shared" si="309"/>
        <v>0.14894312214324801</v>
      </c>
      <c r="BN83" s="374">
        <f t="shared" si="309"/>
        <v>4.6994101210804162E-2</v>
      </c>
      <c r="BO83" s="374">
        <f t="shared" si="309"/>
        <v>1.4953290981292389E-2</v>
      </c>
      <c r="BP83" s="374">
        <f t="shared" si="309"/>
        <v>4.3219052493926213E-2</v>
      </c>
      <c r="BQ83" s="374">
        <f t="shared" si="309"/>
        <v>2.9034431653395032E-2</v>
      </c>
      <c r="BR83" s="374">
        <f t="shared" si="309"/>
        <v>1.6162094491617651E-2</v>
      </c>
      <c r="BS83" s="374">
        <f t="shared" si="309"/>
        <v>5.8143128717071724E-2</v>
      </c>
      <c r="BT83" s="373">
        <f t="shared" ca="1" si="309"/>
        <v>8.7468809020709859E-3</v>
      </c>
      <c r="BU83" s="373">
        <f t="shared" ca="1" si="309"/>
        <v>1.0974823999257977E-2</v>
      </c>
      <c r="BV83" s="373">
        <f t="shared" ca="1" si="309"/>
        <v>3.1065952031007038E-2</v>
      </c>
      <c r="BW83" s="373">
        <f t="shared" ca="1" si="309"/>
        <v>2.5547658794985884E-2</v>
      </c>
      <c r="BX83" s="373">
        <f t="shared" ca="1" si="309"/>
        <v>2.2098123508303091E-2</v>
      </c>
      <c r="BY83" s="373">
        <f t="shared" ca="1" si="309"/>
        <v>2.634002597886087E-2</v>
      </c>
      <c r="BZ83" s="373">
        <f t="shared" ca="1" si="309"/>
        <v>2.1887639979034423E-2</v>
      </c>
      <c r="CA83" s="373">
        <f t="shared" ca="1" si="309"/>
        <v>2.9374207079220893E-2</v>
      </c>
      <c r="CB83" s="373">
        <f t="shared" ca="1" si="309"/>
        <v>1.3479741139388324E-2</v>
      </c>
      <c r="CC83" s="373">
        <f t="shared" ca="1" si="309"/>
        <v>3.9468866350590437E-2</v>
      </c>
      <c r="CD83" s="373">
        <f t="shared" ca="1" si="309"/>
        <v>2.6962550889391812E-2</v>
      </c>
      <c r="CE83" s="373">
        <f t="shared" ca="1" si="309"/>
        <v>3.9040750267677948E-2</v>
      </c>
      <c r="CF83" s="373">
        <f t="shared" ca="1" si="309"/>
        <v>1.4108325334779348E-2</v>
      </c>
      <c r="CG83" s="373">
        <f t="shared" ca="1" si="309"/>
        <v>2.3026321820289297E-2</v>
      </c>
      <c r="CH83" s="373">
        <f t="shared" ca="1" si="309"/>
        <v>2.3581731589397581E-2</v>
      </c>
      <c r="CI83" s="373">
        <f t="shared" ca="1" si="309"/>
        <v>3.2122020713953869E-2</v>
      </c>
      <c r="CJ83" s="373">
        <f t="shared" ref="CJ83" ca="1" si="310">+CJ20/CI20-1</f>
        <v>2.5860049306110522E-2</v>
      </c>
      <c r="CK83" s="373">
        <f t="shared" ref="CK83" ca="1" si="311">+CK20/CJ20-1</f>
        <v>3.2034691259088977E-2</v>
      </c>
      <c r="CL83" s="373">
        <f t="shared" ref="CL83" ca="1" si="312">+CL20/CK20-1</f>
        <v>2.8191842851736482E-2</v>
      </c>
      <c r="CM83" s="373">
        <f t="shared" ref="CM83" ca="1" si="313">+CM20/CL20-1</f>
        <v>3.2885462147215438E-2</v>
      </c>
      <c r="CN83" s="373">
        <f t="shared" ref="CN83" ca="1" si="314">+CN20/CM20-1</f>
        <v>2.3198821250068669E-2</v>
      </c>
      <c r="CO83" s="373">
        <f t="shared" ref="CO83" ca="1" si="315">+CO20/CN20-1</f>
        <v>3.2255533756856414E-2</v>
      </c>
      <c r="CP83" s="373">
        <f t="shared" ref="CP83" ca="1" si="316">+CP20/CO20-1</f>
        <v>2.876118216392598E-2</v>
      </c>
      <c r="CQ83" s="373">
        <f t="shared" ref="CQ83" ca="1" si="317">+CQ20/CP20-1</f>
        <v>3.3074352773848403E-2</v>
      </c>
    </row>
    <row r="84" spans="1:95" s="325" customFormat="1" ht="11.25" customHeight="1">
      <c r="A84" s="329" t="s">
        <v>329</v>
      </c>
      <c r="B84" s="374"/>
      <c r="C84" s="374"/>
      <c r="D84" s="374" t="e">
        <f t="shared" ref="D84:U84" si="318">+D22/C22-1</f>
        <v>#DIV/0!</v>
      </c>
      <c r="E84" s="374" t="e">
        <f t="shared" si="318"/>
        <v>#DIV/0!</v>
      </c>
      <c r="F84" s="374" t="e">
        <f t="shared" si="318"/>
        <v>#DIV/0!</v>
      </c>
      <c r="G84" s="374" t="e">
        <f t="shared" si="318"/>
        <v>#DIV/0!</v>
      </c>
      <c r="H84" s="374" t="e">
        <f t="shared" si="318"/>
        <v>#DIV/0!</v>
      </c>
      <c r="I84" s="374" t="e">
        <f t="shared" si="318"/>
        <v>#DIV/0!</v>
      </c>
      <c r="J84" s="374">
        <f t="shared" si="318"/>
        <v>9.8720932812859097E-3</v>
      </c>
      <c r="K84" s="374">
        <f t="shared" si="318"/>
        <v>0.19694918126069494</v>
      </c>
      <c r="L84" s="374">
        <f t="shared" si="318"/>
        <v>0.68355551801719661</v>
      </c>
      <c r="M84" s="374">
        <f t="shared" si="318"/>
        <v>0.2457603048823036</v>
      </c>
      <c r="N84" s="374">
        <f t="shared" si="318"/>
        <v>0.38563952099393473</v>
      </c>
      <c r="O84" s="374">
        <f t="shared" si="318"/>
        <v>9.6217059251384685E-2</v>
      </c>
      <c r="P84" s="373">
        <f t="shared" si="318"/>
        <v>0.13127068203250647</v>
      </c>
      <c r="Q84" s="373">
        <f t="shared" si="318"/>
        <v>0.10221527883406534</v>
      </c>
      <c r="R84" s="373">
        <f t="shared" si="318"/>
        <v>0.11191386037070084</v>
      </c>
      <c r="S84" s="373">
        <f t="shared" si="318"/>
        <v>0.10028778180379949</v>
      </c>
      <c r="T84" s="373">
        <f t="shared" si="318"/>
        <v>0.11246654236532971</v>
      </c>
      <c r="U84" s="373">
        <f t="shared" si="318"/>
        <v>0.11430246267890709</v>
      </c>
      <c r="V84" s="323"/>
      <c r="W84" s="329" t="s">
        <v>329</v>
      </c>
      <c r="X84" s="374"/>
      <c r="Y84" s="374" t="e">
        <f t="shared" ref="Y84:BD84" si="319">+Y22/X22-1</f>
        <v>#DIV/0!</v>
      </c>
      <c r="Z84" s="374" t="e">
        <f t="shared" si="319"/>
        <v>#DIV/0!</v>
      </c>
      <c r="AA84" s="374" t="e">
        <f t="shared" si="319"/>
        <v>#DIV/0!</v>
      </c>
      <c r="AB84" s="374" t="e">
        <f t="shared" si="319"/>
        <v>#DIV/0!</v>
      </c>
      <c r="AC84" s="374" t="e">
        <f t="shared" si="319"/>
        <v>#DIV/0!</v>
      </c>
      <c r="AD84" s="374" t="e">
        <f t="shared" si="319"/>
        <v>#DIV/0!</v>
      </c>
      <c r="AE84" s="374" t="e">
        <f t="shared" si="319"/>
        <v>#DIV/0!</v>
      </c>
      <c r="AF84" s="374" t="e">
        <f t="shared" si="319"/>
        <v>#DIV/0!</v>
      </c>
      <c r="AG84" s="374" t="e">
        <f t="shared" si="319"/>
        <v>#DIV/0!</v>
      </c>
      <c r="AH84" s="374" t="e">
        <f t="shared" si="319"/>
        <v>#DIV/0!</v>
      </c>
      <c r="AI84" s="374" t="e">
        <f t="shared" si="319"/>
        <v>#DIV/0!</v>
      </c>
      <c r="AJ84" s="374" t="e">
        <f t="shared" si="319"/>
        <v>#DIV/0!</v>
      </c>
      <c r="AK84" s="374" t="e">
        <f t="shared" si="319"/>
        <v>#DIV/0!</v>
      </c>
      <c r="AL84" s="374" t="e">
        <f t="shared" si="319"/>
        <v>#DIV/0!</v>
      </c>
      <c r="AM84" s="374" t="e">
        <f t="shared" si="319"/>
        <v>#DIV/0!</v>
      </c>
      <c r="AN84" s="374" t="e">
        <f t="shared" si="319"/>
        <v>#DIV/0!</v>
      </c>
      <c r="AO84" s="374" t="e">
        <f t="shared" si="319"/>
        <v>#DIV/0!</v>
      </c>
      <c r="AP84" s="374" t="e">
        <f t="shared" si="319"/>
        <v>#DIV/0!</v>
      </c>
      <c r="AQ84" s="374" t="e">
        <f t="shared" si="319"/>
        <v>#DIV/0!</v>
      </c>
      <c r="AR84" s="374" t="e">
        <f t="shared" si="319"/>
        <v>#DIV/0!</v>
      </c>
      <c r="AS84" s="374">
        <f t="shared" si="319"/>
        <v>0.93984705455175632</v>
      </c>
      <c r="AT84" s="374">
        <f t="shared" si="319"/>
        <v>-0.31413590934319957</v>
      </c>
      <c r="AU84" s="374">
        <f t="shared" si="319"/>
        <v>0.13187445360327099</v>
      </c>
      <c r="AV84" s="374">
        <f t="shared" si="319"/>
        <v>-3.4603581721884047E-2</v>
      </c>
      <c r="AW84" s="374">
        <f t="shared" si="319"/>
        <v>-0.28645215845824568</v>
      </c>
      <c r="AX84" s="374">
        <f t="shared" si="319"/>
        <v>0.6719164730265581</v>
      </c>
      <c r="AY84" s="374">
        <f t="shared" si="319"/>
        <v>-7.305044689282103E-2</v>
      </c>
      <c r="AZ84" s="374">
        <f t="shared" si="319"/>
        <v>-0.149438717197097</v>
      </c>
      <c r="BA84" s="374">
        <f t="shared" si="319"/>
        <v>0.44699825454147391</v>
      </c>
      <c r="BB84" s="374">
        <f t="shared" si="319"/>
        <v>-0.29938699272267533</v>
      </c>
      <c r="BC84" s="374">
        <f t="shared" si="319"/>
        <v>0.62282064918547198</v>
      </c>
      <c r="BD84" s="374">
        <f t="shared" si="319"/>
        <v>-2.0472697372592052E-2</v>
      </c>
      <c r="BE84" s="374">
        <f t="shared" ref="BE84:CI84" si="320">+BE22/BD22-1</f>
        <v>0.58865703142570158</v>
      </c>
      <c r="BF84" s="374">
        <f t="shared" si="320"/>
        <v>-0.167460659714045</v>
      </c>
      <c r="BG84" s="375">
        <f t="shared" si="320"/>
        <v>7.5871679656472457E-2</v>
      </c>
      <c r="BH84" s="374">
        <f t="shared" si="320"/>
        <v>-7.6082080135703611E-2</v>
      </c>
      <c r="BI84" s="374">
        <f t="shared" si="320"/>
        <v>0.2777620999185586</v>
      </c>
      <c r="BJ84" s="374">
        <f t="shared" si="320"/>
        <v>5.82906921972004E-2</v>
      </c>
      <c r="BK84" s="374">
        <f t="shared" si="320"/>
        <v>5.3434286917594331E-2</v>
      </c>
      <c r="BL84" s="374">
        <f t="shared" si="320"/>
        <v>4.4755111579477758E-2</v>
      </c>
      <c r="BM84" s="374">
        <f t="shared" si="320"/>
        <v>0.31851618211738875</v>
      </c>
      <c r="BN84" s="374">
        <f t="shared" si="320"/>
        <v>-9.8832819185781684E-2</v>
      </c>
      <c r="BO84" s="374">
        <f t="shared" si="320"/>
        <v>9.323229128916255E-3</v>
      </c>
      <c r="BP84" s="374">
        <f t="shared" si="320"/>
        <v>0.14837464380297227</v>
      </c>
      <c r="BQ84" s="374">
        <f t="shared" si="320"/>
        <v>-0.14014729077381438</v>
      </c>
      <c r="BR84" s="374">
        <f t="shared" si="320"/>
        <v>2.9326273904896949E-2</v>
      </c>
      <c r="BS84" s="374">
        <f t="shared" si="320"/>
        <v>0.13084097429262531</v>
      </c>
      <c r="BT84" s="373">
        <f t="shared" si="320"/>
        <v>1.6666160013639741E-2</v>
      </c>
      <c r="BU84" s="373">
        <f t="shared" si="320"/>
        <v>4.2122089277314423E-2</v>
      </c>
      <c r="BV84" s="373">
        <f t="shared" si="320"/>
        <v>6.2067347977652343E-3</v>
      </c>
      <c r="BW84" s="373">
        <f t="shared" si="320"/>
        <v>2.3943122365259972E-2</v>
      </c>
      <c r="BX84" s="373">
        <f t="shared" si="320"/>
        <v>1.0713098451337721E-2</v>
      </c>
      <c r="BY84" s="373">
        <f t="shared" si="320"/>
        <v>3.1896441132865272E-2</v>
      </c>
      <c r="BZ84" s="373">
        <f t="shared" si="320"/>
        <v>3.7023009621706127E-2</v>
      </c>
      <c r="CA84" s="373">
        <f t="shared" si="320"/>
        <v>5.3835804163244738E-2</v>
      </c>
      <c r="CB84" s="373">
        <f t="shared" si="320"/>
        <v>1.5277626700009872E-2</v>
      </c>
      <c r="CC84" s="373">
        <f t="shared" si="320"/>
        <v>2.3135206270788355E-2</v>
      </c>
      <c r="CD84" s="373">
        <f t="shared" si="320"/>
        <v>8.8720335622218816E-3</v>
      </c>
      <c r="CE84" s="373">
        <f t="shared" si="320"/>
        <v>1.9515166439328269E-2</v>
      </c>
      <c r="CF84" s="373">
        <f t="shared" si="320"/>
        <v>1.7441498834548375E-2</v>
      </c>
      <c r="CG84" s="373">
        <f t="shared" si="320"/>
        <v>3.8942830284034446E-2</v>
      </c>
      <c r="CH84" s="373">
        <f t="shared" si="320"/>
        <v>3.0073567964952197E-2</v>
      </c>
      <c r="CI84" s="373">
        <f t="shared" si="320"/>
        <v>3.9110297207215927E-2</v>
      </c>
      <c r="CJ84" s="373">
        <f t="shared" ref="CJ84" si="321">+CJ22/CI22-1</f>
        <v>1.1213518527796618E-2</v>
      </c>
      <c r="CK84" s="373">
        <f t="shared" ref="CK84" si="322">+CK22/CJ22-1</f>
        <v>2.7535350354163324E-2</v>
      </c>
      <c r="CL84" s="373">
        <f t="shared" ref="CL84" si="323">+CL22/CK22-1</f>
        <v>2.4633555804232987E-2</v>
      </c>
      <c r="CM84" s="373">
        <f t="shared" ref="CM84" si="324">+CM22/CL22-1</f>
        <v>4.0579941365293859E-2</v>
      </c>
      <c r="CN84" s="373">
        <f t="shared" ref="CN84" si="325">+CN22/CM22-1</f>
        <v>4.9495158066008571E-3</v>
      </c>
      <c r="CO84" s="373">
        <f t="shared" ref="CO84" si="326">+CO22/CN22-1</f>
        <v>3.3978462458502223E-2</v>
      </c>
      <c r="CP84" s="373">
        <f t="shared" ref="CP84" si="327">+CP22/CO22-1</f>
        <v>4.1480410752804175E-2</v>
      </c>
      <c r="CQ84" s="373">
        <f t="shared" ref="CQ84" si="328">+CQ22/CP22-1</f>
        <v>3.5952273125575696E-2</v>
      </c>
    </row>
    <row r="85" spans="1:95" s="325" customFormat="1" ht="11.25" customHeight="1">
      <c r="A85" s="376" t="s">
        <v>328</v>
      </c>
      <c r="B85" s="374"/>
      <c r="C85" s="374"/>
      <c r="D85" s="374" t="e">
        <f t="shared" ref="D85:U85" si="329">+D26/C26-1</f>
        <v>#DIV/0!</v>
      </c>
      <c r="E85" s="374" t="e">
        <f t="shared" si="329"/>
        <v>#DIV/0!</v>
      </c>
      <c r="F85" s="374" t="e">
        <f t="shared" si="329"/>
        <v>#DIV/0!</v>
      </c>
      <c r="G85" s="374" t="e">
        <f t="shared" si="329"/>
        <v>#DIV/0!</v>
      </c>
      <c r="H85" s="374" t="e">
        <f t="shared" si="329"/>
        <v>#DIV/0!</v>
      </c>
      <c r="I85" s="374" t="e">
        <f t="shared" si="329"/>
        <v>#DIV/0!</v>
      </c>
      <c r="J85" s="374">
        <f t="shared" si="329"/>
        <v>0.13279799974371076</v>
      </c>
      <c r="K85" s="374">
        <f t="shared" si="329"/>
        <v>0.10518774596190772</v>
      </c>
      <c r="L85" s="374">
        <f t="shared" si="329"/>
        <v>0.18355924182295591</v>
      </c>
      <c r="M85" s="374">
        <f t="shared" si="329"/>
        <v>0.16966872648960929</v>
      </c>
      <c r="N85" s="374">
        <f t="shared" si="329"/>
        <v>0.11160720628681964</v>
      </c>
      <c r="O85" s="374">
        <f t="shared" si="329"/>
        <v>4.852111363573286E-2</v>
      </c>
      <c r="P85" s="373">
        <f t="shared" si="329"/>
        <v>8.4543463610600389E-2</v>
      </c>
      <c r="Q85" s="373">
        <f t="shared" si="329"/>
        <v>0.11330846000000006</v>
      </c>
      <c r="R85" s="373">
        <f t="shared" si="329"/>
        <v>0.14954543725983971</v>
      </c>
      <c r="S85" s="373">
        <f t="shared" si="329"/>
        <v>0.12550881000000014</v>
      </c>
      <c r="T85" s="373">
        <f t="shared" si="329"/>
        <v>0.12550881000000014</v>
      </c>
      <c r="U85" s="373">
        <f t="shared" si="329"/>
        <v>0.12550881000000014</v>
      </c>
      <c r="V85" s="323"/>
      <c r="W85" s="376" t="s">
        <v>328</v>
      </c>
      <c r="X85" s="374"/>
      <c r="Y85" s="374" t="e">
        <f t="shared" ref="Y85:BD85" si="330">+Y26/X26-1</f>
        <v>#DIV/0!</v>
      </c>
      <c r="Z85" s="374" t="e">
        <f t="shared" si="330"/>
        <v>#DIV/0!</v>
      </c>
      <c r="AA85" s="374" t="e">
        <f t="shared" si="330"/>
        <v>#DIV/0!</v>
      </c>
      <c r="AB85" s="374" t="e">
        <f t="shared" si="330"/>
        <v>#DIV/0!</v>
      </c>
      <c r="AC85" s="374" t="e">
        <f t="shared" si="330"/>
        <v>#DIV/0!</v>
      </c>
      <c r="AD85" s="374" t="e">
        <f t="shared" si="330"/>
        <v>#DIV/0!</v>
      </c>
      <c r="AE85" s="374" t="e">
        <f t="shared" si="330"/>
        <v>#DIV/0!</v>
      </c>
      <c r="AF85" s="374" t="e">
        <f t="shared" si="330"/>
        <v>#DIV/0!</v>
      </c>
      <c r="AG85" s="374" t="e">
        <f t="shared" si="330"/>
        <v>#DIV/0!</v>
      </c>
      <c r="AH85" s="374" t="e">
        <f t="shared" si="330"/>
        <v>#DIV/0!</v>
      </c>
      <c r="AI85" s="374" t="e">
        <f t="shared" si="330"/>
        <v>#DIV/0!</v>
      </c>
      <c r="AJ85" s="374" t="e">
        <f t="shared" si="330"/>
        <v>#DIV/0!</v>
      </c>
      <c r="AK85" s="374" t="e">
        <f t="shared" si="330"/>
        <v>#DIV/0!</v>
      </c>
      <c r="AL85" s="374" t="e">
        <f t="shared" si="330"/>
        <v>#DIV/0!</v>
      </c>
      <c r="AM85" s="374" t="e">
        <f t="shared" si="330"/>
        <v>#DIV/0!</v>
      </c>
      <c r="AN85" s="374" t="e">
        <f t="shared" si="330"/>
        <v>#DIV/0!</v>
      </c>
      <c r="AO85" s="374" t="e">
        <f t="shared" si="330"/>
        <v>#DIV/0!</v>
      </c>
      <c r="AP85" s="374" t="e">
        <f t="shared" si="330"/>
        <v>#DIV/0!</v>
      </c>
      <c r="AQ85" s="374" t="e">
        <f t="shared" si="330"/>
        <v>#DIV/0!</v>
      </c>
      <c r="AR85" s="374" t="e">
        <f t="shared" si="330"/>
        <v>#DIV/0!</v>
      </c>
      <c r="AS85" s="374">
        <f t="shared" si="330"/>
        <v>-2.6218618763180435E-2</v>
      </c>
      <c r="AT85" s="374">
        <f t="shared" si="330"/>
        <v>6.1832991076647748E-2</v>
      </c>
      <c r="AU85" s="374">
        <f t="shared" si="330"/>
        <v>0.12368953623497991</v>
      </c>
      <c r="AV85" s="374">
        <f t="shared" si="330"/>
        <v>-2.0653271980293098E-2</v>
      </c>
      <c r="AW85" s="374">
        <f t="shared" si="330"/>
        <v>2.1542393593944942E-2</v>
      </c>
      <c r="AX85" s="374">
        <f t="shared" si="330"/>
        <v>3.5167675740695126E-2</v>
      </c>
      <c r="AY85" s="374">
        <f t="shared" si="330"/>
        <v>1.3733865225706188E-2</v>
      </c>
      <c r="AZ85" s="374">
        <f t="shared" si="330"/>
        <v>3.6006856908281426E-2</v>
      </c>
      <c r="BA85" s="374">
        <f t="shared" si="330"/>
        <v>6.2822580972262676E-2</v>
      </c>
      <c r="BB85" s="374">
        <f t="shared" si="330"/>
        <v>-1.0705040482810624E-2</v>
      </c>
      <c r="BC85" s="374">
        <f t="shared" si="330"/>
        <v>-3.3195081142647243E-2</v>
      </c>
      <c r="BD85" s="374">
        <f t="shared" si="330"/>
        <v>8.1186146683220883E-2</v>
      </c>
      <c r="BE85" s="374">
        <f t="shared" ref="BE85:CI85" si="331">+BE26/BD26-1</f>
        <v>8.5131552153004275E-2</v>
      </c>
      <c r="BF85" s="374">
        <f t="shared" si="331"/>
        <v>6.8563887598683593E-2</v>
      </c>
      <c r="BG85" s="375">
        <f t="shared" si="331"/>
        <v>3.8082022875199906E-2</v>
      </c>
      <c r="BH85" s="374">
        <f t="shared" si="331"/>
        <v>-3.1698126776556701E-2</v>
      </c>
      <c r="BI85" s="374">
        <f t="shared" si="331"/>
        <v>0.13888508161218982</v>
      </c>
      <c r="BJ85" s="374">
        <f t="shared" si="331"/>
        <v>-3.010990463784724E-3</v>
      </c>
      <c r="BK85" s="374">
        <f t="shared" si="331"/>
        <v>4.7851598694974795E-2</v>
      </c>
      <c r="BL85" s="374">
        <f t="shared" si="331"/>
        <v>7.3827653613673938E-3</v>
      </c>
      <c r="BM85" s="374">
        <f t="shared" si="331"/>
        <v>5.7133006624474625E-3</v>
      </c>
      <c r="BN85" s="374">
        <f t="shared" si="331"/>
        <v>3.5782789327194475E-3</v>
      </c>
      <c r="BO85" s="374">
        <f t="shared" si="331"/>
        <v>0.11481561606891599</v>
      </c>
      <c r="BP85" s="374">
        <f t="shared" si="331"/>
        <v>-6.0896196614057208E-2</v>
      </c>
      <c r="BQ85" s="374">
        <f t="shared" si="331"/>
        <v>3.0419792830319592E-2</v>
      </c>
      <c r="BR85" s="374">
        <f t="shared" si="331"/>
        <v>-1.9618338796693613E-2</v>
      </c>
      <c r="BS85" s="374">
        <f t="shared" si="331"/>
        <v>5.6858327117249363E-2</v>
      </c>
      <c r="BT85" s="373">
        <f t="shared" si="331"/>
        <v>-9.9999999999998979E-3</v>
      </c>
      <c r="BU85" s="373">
        <f t="shared" si="331"/>
        <v>3.0000000000000027E-2</v>
      </c>
      <c r="BV85" s="373">
        <f t="shared" si="331"/>
        <v>3.0000000000000027E-2</v>
      </c>
      <c r="BW85" s="373">
        <f t="shared" si="331"/>
        <v>6.0000000000000275E-2</v>
      </c>
      <c r="BX85" s="373">
        <f t="shared" si="331"/>
        <v>-1.000000000000012E-2</v>
      </c>
      <c r="BY85" s="373">
        <f t="shared" si="331"/>
        <v>3.0000000000000027E-2</v>
      </c>
      <c r="BZ85" s="373">
        <f t="shared" si="331"/>
        <v>3.0000000000000027E-2</v>
      </c>
      <c r="CA85" s="373">
        <f t="shared" si="331"/>
        <v>6.0000000000000053E-2</v>
      </c>
      <c r="CB85" s="373">
        <f t="shared" si="331"/>
        <v>3.0000000000000027E-2</v>
      </c>
      <c r="CC85" s="373">
        <f t="shared" si="331"/>
        <v>3.0000000000000027E-2</v>
      </c>
      <c r="CD85" s="373">
        <f t="shared" si="331"/>
        <v>3.0000000000000027E-2</v>
      </c>
      <c r="CE85" s="373">
        <f t="shared" si="331"/>
        <v>3.0000000000000027E-2</v>
      </c>
      <c r="CF85" s="373">
        <f t="shared" si="331"/>
        <v>3.0000000000000027E-2</v>
      </c>
      <c r="CG85" s="373">
        <f t="shared" si="331"/>
        <v>3.0000000000000027E-2</v>
      </c>
      <c r="CH85" s="373">
        <f t="shared" si="331"/>
        <v>3.0000000000000027E-2</v>
      </c>
      <c r="CI85" s="373">
        <f t="shared" si="331"/>
        <v>2.9999999999999805E-2</v>
      </c>
      <c r="CJ85" s="373">
        <f t="shared" ref="CJ85" si="332">+CJ26/CI26-1</f>
        <v>3.0000000000000027E-2</v>
      </c>
      <c r="CK85" s="373">
        <f t="shared" ref="CK85" si="333">+CK26/CJ26-1</f>
        <v>3.0000000000000027E-2</v>
      </c>
      <c r="CL85" s="373">
        <f t="shared" ref="CL85" si="334">+CL26/CK26-1</f>
        <v>3.0000000000000027E-2</v>
      </c>
      <c r="CM85" s="373">
        <f t="shared" ref="CM85" si="335">+CM26/CL26-1</f>
        <v>3.0000000000000249E-2</v>
      </c>
      <c r="CN85" s="373">
        <f t="shared" ref="CN85" si="336">+CN26/CM26-1</f>
        <v>3.0000000000000027E-2</v>
      </c>
      <c r="CO85" s="373">
        <f t="shared" ref="CO85" si="337">+CO26/CN26-1</f>
        <v>3.0000000000000027E-2</v>
      </c>
      <c r="CP85" s="373">
        <f t="shared" ref="CP85" si="338">+CP26/CO26-1</f>
        <v>3.0000000000000027E-2</v>
      </c>
      <c r="CQ85" s="373">
        <f t="shared" ref="CQ85" si="339">+CQ26/CP26-1</f>
        <v>3.0000000000000027E-2</v>
      </c>
    </row>
    <row r="86" spans="1:95" s="325" customFormat="1" ht="11.25" customHeight="1">
      <c r="A86" s="329" t="s">
        <v>327</v>
      </c>
      <c r="B86" s="374"/>
      <c r="C86" s="374"/>
      <c r="D86" s="374" t="e">
        <f t="shared" ref="D86:U86" si="340">(D28+D29)/(C28+C29)-1</f>
        <v>#DIV/0!</v>
      </c>
      <c r="E86" s="374" t="e">
        <f t="shared" si="340"/>
        <v>#DIV/0!</v>
      </c>
      <c r="F86" s="374" t="e">
        <f t="shared" si="340"/>
        <v>#DIV/0!</v>
      </c>
      <c r="G86" s="374" t="e">
        <f t="shared" si="340"/>
        <v>#DIV/0!</v>
      </c>
      <c r="H86" s="374" t="e">
        <f t="shared" si="340"/>
        <v>#DIV/0!</v>
      </c>
      <c r="I86" s="374" t="e">
        <f t="shared" si="340"/>
        <v>#DIV/0!</v>
      </c>
      <c r="J86" s="374">
        <f t="shared" si="340"/>
        <v>7.6738826823364636E-2</v>
      </c>
      <c r="K86" s="374">
        <f t="shared" si="340"/>
        <v>0.1684788913775439</v>
      </c>
      <c r="L86" s="374">
        <f t="shared" si="340"/>
        <v>0.25697714002316463</v>
      </c>
      <c r="M86" s="374">
        <f t="shared" si="340"/>
        <v>0.16365183163064101</v>
      </c>
      <c r="N86" s="374">
        <f t="shared" si="340"/>
        <v>0.16458769221782577</v>
      </c>
      <c r="O86" s="374">
        <f t="shared" si="340"/>
        <v>6.3416300496497158E-2</v>
      </c>
      <c r="P86" s="373">
        <f t="shared" si="340"/>
        <v>0.10588975911946186</v>
      </c>
      <c r="Q86" s="373">
        <f t="shared" si="340"/>
        <v>5.8819026938449648E-2</v>
      </c>
      <c r="R86" s="373">
        <f t="shared" si="340"/>
        <v>6.7546202138826672E-2</v>
      </c>
      <c r="S86" s="373">
        <f t="shared" si="340"/>
        <v>7.298320346524978E-2</v>
      </c>
      <c r="T86" s="373">
        <f t="shared" si="340"/>
        <v>7.3660973876523483E-2</v>
      </c>
      <c r="U86" s="373">
        <f t="shared" si="340"/>
        <v>7.4337869381722488E-2</v>
      </c>
      <c r="V86" s="323"/>
      <c r="W86" s="329" t="s">
        <v>327</v>
      </c>
      <c r="X86" s="374"/>
      <c r="Y86" s="374" t="e">
        <f t="shared" ref="Y86:BD86" si="341">(Y28+Y29)/(X28+X29)-1</f>
        <v>#DIV/0!</v>
      </c>
      <c r="Z86" s="374" t="e">
        <f t="shared" si="341"/>
        <v>#DIV/0!</v>
      </c>
      <c r="AA86" s="374" t="e">
        <f t="shared" si="341"/>
        <v>#DIV/0!</v>
      </c>
      <c r="AB86" s="374" t="e">
        <f t="shared" si="341"/>
        <v>#DIV/0!</v>
      </c>
      <c r="AC86" s="374" t="e">
        <f t="shared" si="341"/>
        <v>#DIV/0!</v>
      </c>
      <c r="AD86" s="374" t="e">
        <f t="shared" si="341"/>
        <v>#DIV/0!</v>
      </c>
      <c r="AE86" s="374" t="e">
        <f t="shared" si="341"/>
        <v>#DIV/0!</v>
      </c>
      <c r="AF86" s="374" t="e">
        <f t="shared" si="341"/>
        <v>#DIV/0!</v>
      </c>
      <c r="AG86" s="374" t="e">
        <f t="shared" si="341"/>
        <v>#DIV/0!</v>
      </c>
      <c r="AH86" s="374" t="e">
        <f t="shared" si="341"/>
        <v>#DIV/0!</v>
      </c>
      <c r="AI86" s="374" t="e">
        <f t="shared" si="341"/>
        <v>#DIV/0!</v>
      </c>
      <c r="AJ86" s="374" t="e">
        <f t="shared" si="341"/>
        <v>#DIV/0!</v>
      </c>
      <c r="AK86" s="374" t="e">
        <f t="shared" si="341"/>
        <v>#DIV/0!</v>
      </c>
      <c r="AL86" s="374" t="e">
        <f t="shared" si="341"/>
        <v>#DIV/0!</v>
      </c>
      <c r="AM86" s="374" t="e">
        <f t="shared" si="341"/>
        <v>#DIV/0!</v>
      </c>
      <c r="AN86" s="374" t="e">
        <f t="shared" si="341"/>
        <v>#DIV/0!</v>
      </c>
      <c r="AO86" s="374" t="e">
        <f t="shared" si="341"/>
        <v>#DIV/0!</v>
      </c>
      <c r="AP86" s="374" t="e">
        <f t="shared" si="341"/>
        <v>#DIV/0!</v>
      </c>
      <c r="AQ86" s="374" t="e">
        <f t="shared" si="341"/>
        <v>#DIV/0!</v>
      </c>
      <c r="AR86" s="374" t="e">
        <f t="shared" si="341"/>
        <v>#DIV/0!</v>
      </c>
      <c r="AS86" s="374">
        <f t="shared" si="341"/>
        <v>-6.287600795677728E-2</v>
      </c>
      <c r="AT86" s="374">
        <f t="shared" si="341"/>
        <v>-9.3826366113590742E-3</v>
      </c>
      <c r="AU86" s="374">
        <f t="shared" si="341"/>
        <v>0.15929698512667634</v>
      </c>
      <c r="AV86" s="374">
        <f t="shared" si="341"/>
        <v>-4.9082190405305703E-2</v>
      </c>
      <c r="AW86" s="374">
        <f t="shared" si="341"/>
        <v>-1.7971812724022262E-2</v>
      </c>
      <c r="AX86" s="374">
        <f t="shared" si="341"/>
        <v>2.293666393401006E-2</v>
      </c>
      <c r="AY86" s="374">
        <f t="shared" si="341"/>
        <v>0.15530830184838229</v>
      </c>
      <c r="AZ86" s="374">
        <f t="shared" si="341"/>
        <v>-2.4016546519464832E-2</v>
      </c>
      <c r="BA86" s="374">
        <f t="shared" si="341"/>
        <v>4.2847750645614191E-2</v>
      </c>
      <c r="BB86" s="374">
        <f t="shared" si="341"/>
        <v>3.7275408957482936E-2</v>
      </c>
      <c r="BC86" s="374">
        <f t="shared" si="341"/>
        <v>6.6445782197124048E-2</v>
      </c>
      <c r="BD86" s="374">
        <f t="shared" si="341"/>
        <v>4.8725741625026409E-3</v>
      </c>
      <c r="BE86" s="374">
        <f t="shared" ref="BE86:CI86" si="342">(BE28+BE29)/(BD28+BD29)-1</f>
        <v>9.2979147913568427E-2</v>
      </c>
      <c r="BF86" s="374">
        <f t="shared" si="342"/>
        <v>8.477857023398272E-2</v>
      </c>
      <c r="BG86" s="375">
        <f t="shared" si="342"/>
        <v>0.14734153180078025</v>
      </c>
      <c r="BH86" s="374">
        <f t="shared" si="342"/>
        <v>-7.5349399411543727E-2</v>
      </c>
      <c r="BI86" s="374">
        <f t="shared" si="342"/>
        <v>8.4101600708119895E-2</v>
      </c>
      <c r="BJ86" s="374">
        <f t="shared" si="342"/>
        <v>-3.8206796465936055E-3</v>
      </c>
      <c r="BK86" s="374">
        <f t="shared" si="342"/>
        <v>4.4061374396463515E-2</v>
      </c>
      <c r="BL86" s="374">
        <f t="shared" si="342"/>
        <v>-3.5119984628821155E-2</v>
      </c>
      <c r="BM86" s="374">
        <f t="shared" si="342"/>
        <v>0.17815640480921968</v>
      </c>
      <c r="BN86" s="374">
        <f t="shared" si="342"/>
        <v>-1.7926808632190983E-2</v>
      </c>
      <c r="BO86" s="374">
        <f t="shared" si="342"/>
        <v>8.7905538970549202E-2</v>
      </c>
      <c r="BP86" s="374">
        <f t="shared" si="342"/>
        <v>-8.8390364257343368E-2</v>
      </c>
      <c r="BQ86" s="374">
        <f t="shared" si="342"/>
        <v>4.4744193089487627E-2</v>
      </c>
      <c r="BR86" s="374">
        <f t="shared" si="342"/>
        <v>9.2760840278938161E-4</v>
      </c>
      <c r="BS86" s="374">
        <f t="shared" si="342"/>
        <v>0.1159022767838771</v>
      </c>
      <c r="BT86" s="373">
        <f t="shared" si="342"/>
        <v>-2.133716565204391E-2</v>
      </c>
      <c r="BU86" s="373">
        <f t="shared" si="342"/>
        <v>1.8869563305005332E-2</v>
      </c>
      <c r="BV86" s="373">
        <f t="shared" si="342"/>
        <v>1.0157612371070712E-2</v>
      </c>
      <c r="BW86" s="373">
        <f t="shared" si="342"/>
        <v>4.410170845215311E-2</v>
      </c>
      <c r="BX86" s="373">
        <f t="shared" si="342"/>
        <v>-2.150556985130414E-2</v>
      </c>
      <c r="BY86" s="373">
        <f t="shared" si="342"/>
        <v>2.3083239666349842E-2</v>
      </c>
      <c r="BZ86" s="373">
        <f t="shared" si="342"/>
        <v>1.7773582589186931E-2</v>
      </c>
      <c r="CA86" s="373">
        <f t="shared" si="342"/>
        <v>4.3965735238355785E-2</v>
      </c>
      <c r="CB86" s="373">
        <f t="shared" si="342"/>
        <v>-2.2844486360971916E-2</v>
      </c>
      <c r="CC86" s="373">
        <f t="shared" si="342"/>
        <v>2.6511059220635458E-2</v>
      </c>
      <c r="CD86" s="373">
        <f t="shared" si="342"/>
        <v>2.1612465839333517E-2</v>
      </c>
      <c r="CE86" s="373">
        <f t="shared" si="342"/>
        <v>4.6088174280768834E-2</v>
      </c>
      <c r="CF86" s="373">
        <f t="shared" si="342"/>
        <v>-2.2686489703112156E-2</v>
      </c>
      <c r="CG86" s="373">
        <f t="shared" si="342"/>
        <v>2.7022646034172482E-2</v>
      </c>
      <c r="CH86" s="373">
        <f t="shared" si="342"/>
        <v>2.1922044914651995E-2</v>
      </c>
      <c r="CI86" s="373">
        <f t="shared" si="342"/>
        <v>4.7083757795242764E-2</v>
      </c>
      <c r="CJ86" s="373">
        <f t="shared" ref="CJ86" si="343">(CJ28+CJ29)/(CI28+CI29)-1</f>
        <v>-2.3787065536747476E-2</v>
      </c>
      <c r="CK86" s="373">
        <f t="shared" ref="CK86" si="344">(CK28+CK29)/(CJ28+CJ29)-1</f>
        <v>2.7538678432787789E-2</v>
      </c>
      <c r="CL86" s="373">
        <f t="shared" ref="CL86" si="345">(CL28+CL29)/(CK28+CK29)-1</f>
        <v>2.2233176472689298E-2</v>
      </c>
      <c r="CM86" s="373">
        <f t="shared" ref="CM86" si="346">(CM28+CM29)/(CL28+CL29)-1</f>
        <v>4.8086155704696543E-2</v>
      </c>
      <c r="CN86" s="373">
        <f t="shared" ref="CN86" si="347">(CN28+CN29)/(CM28+CM29)-1</f>
        <v>-2.489770258227697E-2</v>
      </c>
      <c r="CO86" s="373">
        <f t="shared" ref="CO86" si="348">(CO28+CO29)/(CN28+CN29)-1</f>
        <v>2.8058685001223882E-2</v>
      </c>
      <c r="CP86" s="373">
        <f t="shared" ref="CP86" si="349">(CP28+CP29)/(CO28+CO29)-1</f>
        <v>2.254558212372948E-2</v>
      </c>
      <c r="CQ86" s="373">
        <f t="shared" ref="CQ86" si="350">(CQ28+CQ29)/(CP28+CP29)-1</f>
        <v>4.9094430771465136E-2</v>
      </c>
    </row>
    <row r="87" spans="1:95" s="325" customFormat="1" ht="11.25" customHeight="1">
      <c r="A87" s="376" t="s">
        <v>326</v>
      </c>
      <c r="B87" s="374"/>
      <c r="C87" s="374"/>
      <c r="D87" s="374" t="e">
        <f t="shared" ref="D87:U87" si="351">+D27/C27-1</f>
        <v>#DIV/0!</v>
      </c>
      <c r="E87" s="374" t="e">
        <f t="shared" si="351"/>
        <v>#DIV/0!</v>
      </c>
      <c r="F87" s="374" t="e">
        <f t="shared" si="351"/>
        <v>#DIV/0!</v>
      </c>
      <c r="G87" s="374" t="e">
        <f t="shared" si="351"/>
        <v>#DIV/0!</v>
      </c>
      <c r="H87" s="374" t="e">
        <f t="shared" si="351"/>
        <v>#DIV/0!</v>
      </c>
      <c r="I87" s="374" t="e">
        <f t="shared" si="351"/>
        <v>#DIV/0!</v>
      </c>
      <c r="J87" s="374">
        <f t="shared" si="351"/>
        <v>0.12632542935779334</v>
      </c>
      <c r="K87" s="374">
        <f t="shared" si="351"/>
        <v>-0.31322146502221471</v>
      </c>
      <c r="L87" s="374">
        <f t="shared" si="351"/>
        <v>0.17254405751065405</v>
      </c>
      <c r="M87" s="374">
        <f t="shared" si="351"/>
        <v>2.453522005216846E-2</v>
      </c>
      <c r="N87" s="374">
        <f t="shared" si="351"/>
        <v>0.1016695914759751</v>
      </c>
      <c r="O87" s="374">
        <f t="shared" si="351"/>
        <v>0.1261223128926765</v>
      </c>
      <c r="P87" s="373">
        <f t="shared" si="351"/>
        <v>0.24766106075416161</v>
      </c>
      <c r="Q87" s="373">
        <f t="shared" si="351"/>
        <v>0.20153394005590108</v>
      </c>
      <c r="R87" s="373">
        <f t="shared" si="351"/>
        <v>0.19787527849738007</v>
      </c>
      <c r="S87" s="373">
        <f t="shared" si="351"/>
        <v>0.19470402849435109</v>
      </c>
      <c r="T87" s="373">
        <f t="shared" si="351"/>
        <v>0.19190047058057225</v>
      </c>
      <c r="U87" s="373">
        <f t="shared" si="351"/>
        <v>0.18962222483913416</v>
      </c>
      <c r="V87" s="323"/>
      <c r="W87" s="376" t="s">
        <v>325</v>
      </c>
      <c r="X87" s="374"/>
      <c r="Y87" s="374" t="e">
        <f t="shared" ref="Y87:BD87" si="352">+Y27/X27-1</f>
        <v>#DIV/0!</v>
      </c>
      <c r="Z87" s="374" t="e">
        <f t="shared" si="352"/>
        <v>#DIV/0!</v>
      </c>
      <c r="AA87" s="374" t="e">
        <f t="shared" si="352"/>
        <v>#DIV/0!</v>
      </c>
      <c r="AB87" s="374" t="e">
        <f t="shared" si="352"/>
        <v>#DIV/0!</v>
      </c>
      <c r="AC87" s="374" t="e">
        <f t="shared" si="352"/>
        <v>#DIV/0!</v>
      </c>
      <c r="AD87" s="374" t="e">
        <f t="shared" si="352"/>
        <v>#DIV/0!</v>
      </c>
      <c r="AE87" s="374" t="e">
        <f t="shared" si="352"/>
        <v>#DIV/0!</v>
      </c>
      <c r="AF87" s="374" t="e">
        <f t="shared" si="352"/>
        <v>#DIV/0!</v>
      </c>
      <c r="AG87" s="374" t="e">
        <f t="shared" si="352"/>
        <v>#DIV/0!</v>
      </c>
      <c r="AH87" s="374" t="e">
        <f t="shared" si="352"/>
        <v>#DIV/0!</v>
      </c>
      <c r="AI87" s="374" t="e">
        <f t="shared" si="352"/>
        <v>#DIV/0!</v>
      </c>
      <c r="AJ87" s="374" t="e">
        <f t="shared" si="352"/>
        <v>#DIV/0!</v>
      </c>
      <c r="AK87" s="374" t="e">
        <f t="shared" si="352"/>
        <v>#DIV/0!</v>
      </c>
      <c r="AL87" s="374" t="e">
        <f t="shared" si="352"/>
        <v>#DIV/0!</v>
      </c>
      <c r="AM87" s="374" t="e">
        <f t="shared" si="352"/>
        <v>#DIV/0!</v>
      </c>
      <c r="AN87" s="374" t="e">
        <f t="shared" si="352"/>
        <v>#DIV/0!</v>
      </c>
      <c r="AO87" s="374" t="e">
        <f t="shared" si="352"/>
        <v>#DIV/0!</v>
      </c>
      <c r="AP87" s="374" t="e">
        <f t="shared" si="352"/>
        <v>#DIV/0!</v>
      </c>
      <c r="AQ87" s="374" t="e">
        <f t="shared" si="352"/>
        <v>#DIV/0!</v>
      </c>
      <c r="AR87" s="374" t="e">
        <f t="shared" si="352"/>
        <v>#DIV/0!</v>
      </c>
      <c r="AS87" s="374">
        <f t="shared" si="352"/>
        <v>-5.4612259131763485E-2</v>
      </c>
      <c r="AT87" s="374">
        <f t="shared" si="352"/>
        <v>0.23048876530754425</v>
      </c>
      <c r="AU87" s="374">
        <f t="shared" si="352"/>
        <v>0.22927887761223498</v>
      </c>
      <c r="AV87" s="374">
        <f t="shared" si="352"/>
        <v>-0.28930513882118358</v>
      </c>
      <c r="AW87" s="374">
        <f t="shared" si="352"/>
        <v>0.39742830394199991</v>
      </c>
      <c r="AX87" s="374">
        <f t="shared" si="352"/>
        <v>-4.0648455192833888E-2</v>
      </c>
      <c r="AY87" s="374">
        <f t="shared" si="352"/>
        <v>-3.6270656472754514E-2</v>
      </c>
      <c r="AZ87" s="374">
        <f t="shared" si="352"/>
        <v>-0.29751925780499477</v>
      </c>
      <c r="BA87" s="374">
        <f t="shared" si="352"/>
        <v>5.8379254779830081E-2</v>
      </c>
      <c r="BB87" s="374">
        <f t="shared" si="352"/>
        <v>-6.7380228004131681E-2</v>
      </c>
      <c r="BC87" s="374">
        <f t="shared" si="352"/>
        <v>-0.22926817047330472</v>
      </c>
      <c r="BD87" s="374">
        <f t="shared" si="352"/>
        <v>-0.66845833978339275</v>
      </c>
      <c r="BE87" s="374">
        <f t="shared" ref="BE87:CI87" si="353">+BE27/BD27-1</f>
        <v>3.730601832763095</v>
      </c>
      <c r="BF87" s="374">
        <f t="shared" si="353"/>
        <v>0.21807569839445295</v>
      </c>
      <c r="BG87" s="375">
        <f t="shared" si="353"/>
        <v>7.6233030822960623E-2</v>
      </c>
      <c r="BH87" s="374">
        <f t="shared" si="353"/>
        <v>-0.29709645763572279</v>
      </c>
      <c r="BI87" s="374">
        <f t="shared" si="353"/>
        <v>-0.10666314916983211</v>
      </c>
      <c r="BJ87" s="374">
        <f t="shared" si="353"/>
        <v>0.28918555170023019</v>
      </c>
      <c r="BK87" s="374">
        <f t="shared" si="353"/>
        <v>-3.2897074570989226E-2</v>
      </c>
      <c r="BL87" s="374">
        <f t="shared" si="353"/>
        <v>-5.5477244415648719E-2</v>
      </c>
      <c r="BM87" s="374">
        <f t="shared" si="353"/>
        <v>7.2726898242073013E-2</v>
      </c>
      <c r="BN87" s="374">
        <f t="shared" si="353"/>
        <v>0.12934286948591178</v>
      </c>
      <c r="BO87" s="374">
        <f t="shared" si="353"/>
        <v>-0.11599143134021328</v>
      </c>
      <c r="BP87" s="374">
        <f t="shared" si="353"/>
        <v>-7.4447318569519028E-2</v>
      </c>
      <c r="BQ87" s="374">
        <f t="shared" si="353"/>
        <v>0.25035584045880044</v>
      </c>
      <c r="BR87" s="374">
        <f t="shared" si="353"/>
        <v>4.069033137235345E-2</v>
      </c>
      <c r="BS87" s="374">
        <f t="shared" si="353"/>
        <v>7.3032855603017977E-2</v>
      </c>
      <c r="BT87" s="373">
        <f t="shared" si="353"/>
        <v>1.8539338058225052E-2</v>
      </c>
      <c r="BU87" s="373">
        <f t="shared" si="353"/>
        <v>8.2860478249439318E-2</v>
      </c>
      <c r="BV87" s="373">
        <f t="shared" si="353"/>
        <v>2.1323347290240768E-2</v>
      </c>
      <c r="BW87" s="373">
        <f t="shared" si="353"/>
        <v>4.1608165945013376E-2</v>
      </c>
      <c r="BX87" s="373">
        <f t="shared" si="353"/>
        <v>4.4406323363090472E-2</v>
      </c>
      <c r="BY87" s="373">
        <f t="shared" si="353"/>
        <v>8.1495468120853287E-2</v>
      </c>
      <c r="BZ87" s="373">
        <f t="shared" si="353"/>
        <v>2.1029146686064593E-2</v>
      </c>
      <c r="CA87" s="373">
        <f t="shared" si="353"/>
        <v>4.0821740428130138E-2</v>
      </c>
      <c r="CB87" s="373">
        <f t="shared" si="353"/>
        <v>4.3649893840099763E-2</v>
      </c>
      <c r="CC87" s="373">
        <f t="shared" si="353"/>
        <v>8.0127599452803455E-2</v>
      </c>
      <c r="CD87" s="373">
        <f t="shared" si="353"/>
        <v>2.0637447059123071E-2</v>
      </c>
      <c r="CE87" s="373">
        <f t="shared" si="353"/>
        <v>4.0161172375840826E-2</v>
      </c>
      <c r="CF87" s="373">
        <f t="shared" si="353"/>
        <v>4.2989268508029976E-2</v>
      </c>
      <c r="CG87" s="373">
        <f t="shared" si="353"/>
        <v>7.9011021177515017E-2</v>
      </c>
      <c r="CH87" s="373">
        <f t="shared" si="353"/>
        <v>2.036113524294958E-2</v>
      </c>
      <c r="CI87" s="373">
        <f t="shared" si="353"/>
        <v>3.9616167487334097E-2</v>
      </c>
      <c r="CJ87" s="373">
        <f t="shared" ref="CJ87" si="354">+CJ27/CI27-1</f>
        <v>4.2377859867541945E-2</v>
      </c>
      <c r="CK87" s="373">
        <f t="shared" ref="CK87" si="355">+CK27/CJ27-1</f>
        <v>7.7990134330046645E-2</v>
      </c>
      <c r="CL87" s="373">
        <f t="shared" ref="CL87" si="356">+CL27/CK27-1</f>
        <v>2.0046882130817956E-2</v>
      </c>
      <c r="CM87" s="373">
        <f t="shared" ref="CM87" si="357">+CM27/CL27-1</f>
        <v>3.9140673235002144E-2</v>
      </c>
      <c r="CN87" s="373">
        <f t="shared" ref="CN87" si="358">+CN27/CM27-1</f>
        <v>4.1927974844341298E-2</v>
      </c>
      <c r="CO87" s="373">
        <f t="shared" ref="CO87" si="359">+CO27/CN27-1</f>
        <v>7.7182821483728681E-2</v>
      </c>
      <c r="CP87" s="373">
        <f t="shared" ref="CP87" si="360">+CP27/CO27-1</f>
        <v>1.9842581932969283E-2</v>
      </c>
      <c r="CQ87" s="373">
        <f t="shared" ref="CQ87" si="361">+CQ27/CP27-1</f>
        <v>3.8754117185749948E-2</v>
      </c>
    </row>
    <row r="88" spans="1:95" s="325" customFormat="1" ht="11.25" customHeight="1">
      <c r="A88" s="329" t="s">
        <v>39</v>
      </c>
      <c r="B88" s="374"/>
      <c r="C88" s="374"/>
      <c r="D88" s="374" t="e">
        <f t="shared" ref="D88:U88" si="362">+D47/C47-1</f>
        <v>#DIV/0!</v>
      </c>
      <c r="E88" s="374" t="e">
        <f t="shared" si="362"/>
        <v>#DIV/0!</v>
      </c>
      <c r="F88" s="374" t="e">
        <f t="shared" si="362"/>
        <v>#DIV/0!</v>
      </c>
      <c r="G88" s="374" t="e">
        <f t="shared" si="362"/>
        <v>#DIV/0!</v>
      </c>
      <c r="H88" s="374" t="e">
        <f t="shared" si="362"/>
        <v>#DIV/0!</v>
      </c>
      <c r="I88" s="374" t="e">
        <f t="shared" si="362"/>
        <v>#DIV/0!</v>
      </c>
      <c r="J88" s="374">
        <f t="shared" si="362"/>
        <v>0.14504775024556205</v>
      </c>
      <c r="K88" s="374">
        <f t="shared" si="362"/>
        <v>0.2223383858451502</v>
      </c>
      <c r="L88" s="374">
        <f t="shared" si="362"/>
        <v>5.4476435362935227E-2</v>
      </c>
      <c r="M88" s="374">
        <f t="shared" si="362"/>
        <v>-0.26025109712590599</v>
      </c>
      <c r="N88" s="374">
        <f t="shared" si="362"/>
        <v>0.57439414187684568</v>
      </c>
      <c r="O88" s="374">
        <f t="shared" si="362"/>
        <v>0.26800163110201125</v>
      </c>
      <c r="P88" s="373">
        <f t="shared" ca="1" si="362"/>
        <v>0.14539177721741248</v>
      </c>
      <c r="Q88" s="373">
        <f t="shared" ca="1" si="362"/>
        <v>0.18571571438764578</v>
      </c>
      <c r="R88" s="373">
        <f t="shared" ca="1" si="362"/>
        <v>0.18696937553991488</v>
      </c>
      <c r="S88" s="373">
        <f t="shared" ca="1" si="362"/>
        <v>0.1503672564489118</v>
      </c>
      <c r="T88" s="373">
        <f t="shared" ca="1" si="362"/>
        <v>0.16072093396317944</v>
      </c>
      <c r="U88" s="373">
        <f t="shared" ca="1" si="362"/>
        <v>0.16194311023884667</v>
      </c>
      <c r="V88" s="323"/>
      <c r="W88" s="329" t="s">
        <v>39</v>
      </c>
      <c r="X88" s="374"/>
      <c r="Y88" s="374" t="e">
        <f t="shared" ref="Y88:BD88" si="363">+Y47/X47-1</f>
        <v>#DIV/0!</v>
      </c>
      <c r="Z88" s="374" t="e">
        <f t="shared" si="363"/>
        <v>#DIV/0!</v>
      </c>
      <c r="AA88" s="374" t="e">
        <f t="shared" si="363"/>
        <v>#DIV/0!</v>
      </c>
      <c r="AB88" s="374" t="e">
        <f t="shared" si="363"/>
        <v>#DIV/0!</v>
      </c>
      <c r="AC88" s="374" t="e">
        <f t="shared" si="363"/>
        <v>#DIV/0!</v>
      </c>
      <c r="AD88" s="374" t="e">
        <f t="shared" si="363"/>
        <v>#DIV/0!</v>
      </c>
      <c r="AE88" s="374" t="e">
        <f t="shared" si="363"/>
        <v>#DIV/0!</v>
      </c>
      <c r="AF88" s="374" t="e">
        <f t="shared" si="363"/>
        <v>#DIV/0!</v>
      </c>
      <c r="AG88" s="374" t="e">
        <f t="shared" si="363"/>
        <v>#DIV/0!</v>
      </c>
      <c r="AH88" s="374" t="e">
        <f t="shared" si="363"/>
        <v>#DIV/0!</v>
      </c>
      <c r="AI88" s="374" t="e">
        <f t="shared" si="363"/>
        <v>#DIV/0!</v>
      </c>
      <c r="AJ88" s="374" t="e">
        <f t="shared" si="363"/>
        <v>#DIV/0!</v>
      </c>
      <c r="AK88" s="374" t="e">
        <f t="shared" si="363"/>
        <v>#DIV/0!</v>
      </c>
      <c r="AL88" s="374" t="e">
        <f t="shared" si="363"/>
        <v>#DIV/0!</v>
      </c>
      <c r="AM88" s="374" t="e">
        <f t="shared" si="363"/>
        <v>#DIV/0!</v>
      </c>
      <c r="AN88" s="374" t="e">
        <f t="shared" si="363"/>
        <v>#DIV/0!</v>
      </c>
      <c r="AO88" s="374" t="e">
        <f t="shared" si="363"/>
        <v>#DIV/0!</v>
      </c>
      <c r="AP88" s="374" t="e">
        <f t="shared" si="363"/>
        <v>#DIV/0!</v>
      </c>
      <c r="AQ88" s="374" t="e">
        <f t="shared" si="363"/>
        <v>#DIV/0!</v>
      </c>
      <c r="AR88" s="374" t="e">
        <f t="shared" si="363"/>
        <v>#DIV/0!</v>
      </c>
      <c r="AS88" s="374">
        <f t="shared" si="363"/>
        <v>-2.2456635010182358E-2</v>
      </c>
      <c r="AT88" s="374">
        <f t="shared" si="363"/>
        <v>3.3263501713552523E-2</v>
      </c>
      <c r="AU88" s="374">
        <f t="shared" si="363"/>
        <v>-9.7663744970898358E-3</v>
      </c>
      <c r="AV88" s="374">
        <f t="shared" si="363"/>
        <v>-1.8991998419366496E-3</v>
      </c>
      <c r="AW88" s="374">
        <f t="shared" si="363"/>
        <v>0.303675081084956</v>
      </c>
      <c r="AX88" s="374">
        <f t="shared" si="363"/>
        <v>-4.8629153709447981E-2</v>
      </c>
      <c r="AY88" s="374">
        <f t="shared" si="363"/>
        <v>-0.16949157640382007</v>
      </c>
      <c r="AZ88" s="374">
        <f t="shared" si="363"/>
        <v>0.34095209767208368</v>
      </c>
      <c r="BA88" s="374">
        <f t="shared" si="363"/>
        <v>-8.9477989011559345E-3</v>
      </c>
      <c r="BB88" s="374">
        <f t="shared" si="363"/>
        <v>-3.0466179695530893E-2</v>
      </c>
      <c r="BC88" s="374">
        <f t="shared" si="363"/>
        <v>0.140468121094109</v>
      </c>
      <c r="BD88" s="374">
        <f t="shared" si="363"/>
        <v>-5.1607545149188638E-2</v>
      </c>
      <c r="BE88" s="374">
        <f t="shared" ref="BE88:CI88" si="364">+BE47/BD47-1</f>
        <v>-8.3721776533287384E-2</v>
      </c>
      <c r="BF88" s="374">
        <f t="shared" si="364"/>
        <v>0.28173885081311134</v>
      </c>
      <c r="BG88" s="375">
        <f t="shared" si="364"/>
        <v>-0.13469845636885269</v>
      </c>
      <c r="BH88" s="374">
        <f t="shared" si="364"/>
        <v>-8.8414562016874476E-2</v>
      </c>
      <c r="BI88" s="374">
        <f t="shared" si="364"/>
        <v>-0.68861049291308141</v>
      </c>
      <c r="BJ88" s="374">
        <f t="shared" si="364"/>
        <v>2.4295033701493929</v>
      </c>
      <c r="BK88" s="374">
        <f t="shared" si="364"/>
        <v>-0.15702137088807899</v>
      </c>
      <c r="BL88" s="374">
        <f t="shared" si="364"/>
        <v>0.42789399644936443</v>
      </c>
      <c r="BM88" s="374">
        <f t="shared" si="364"/>
        <v>-3.0540206973927675E-2</v>
      </c>
      <c r="BN88" s="374">
        <f t="shared" si="364"/>
        <v>0.10390021310583841</v>
      </c>
      <c r="BO88" s="374">
        <f t="shared" si="364"/>
        <v>-8.6959957238142316E-2</v>
      </c>
      <c r="BP88" s="374">
        <f t="shared" si="364"/>
        <v>0.3655592661222995</v>
      </c>
      <c r="BQ88" s="374">
        <f t="shared" si="364"/>
        <v>-6.8892244030642757E-2</v>
      </c>
      <c r="BR88" s="374">
        <f t="shared" si="364"/>
        <v>-1.4853962724971081E-3</v>
      </c>
      <c r="BS88" s="374">
        <f t="shared" si="364"/>
        <v>2.8579944452017836E-2</v>
      </c>
      <c r="BT88" s="373">
        <f t="shared" ca="1" si="364"/>
        <v>7.0106527986928402E-2</v>
      </c>
      <c r="BU88" s="373">
        <f t="shared" ca="1" si="364"/>
        <v>3.3905368628923682E-2</v>
      </c>
      <c r="BV88" s="373">
        <f t="shared" ca="1" si="364"/>
        <v>6.7174062924522771E-2</v>
      </c>
      <c r="BW88" s="373">
        <f t="shared" ca="1" si="364"/>
        <v>2.8799293561951211E-2</v>
      </c>
      <c r="BX88" s="373">
        <f t="shared" ca="1" si="364"/>
        <v>7.3425204811928602E-2</v>
      </c>
      <c r="BY88" s="373">
        <f t="shared" ca="1" si="364"/>
        <v>3.1859846759312305E-2</v>
      </c>
      <c r="BZ88" s="373">
        <f t="shared" ca="1" si="364"/>
        <v>2.1313757981877401E-2</v>
      </c>
      <c r="CA88" s="373">
        <f t="shared" ca="1" si="364"/>
        <v>1.7029655349888095E-2</v>
      </c>
      <c r="CB88" s="373">
        <f t="shared" ca="1" si="364"/>
        <v>7.9669752623307888E-2</v>
      </c>
      <c r="CC88" s="373">
        <f t="shared" ca="1" si="364"/>
        <v>5.2298158891587621E-2</v>
      </c>
      <c r="CD88" s="373">
        <f t="shared" ca="1" si="364"/>
        <v>3.6345651082355879E-2</v>
      </c>
      <c r="CE88" s="373">
        <f t="shared" ca="1" si="364"/>
        <v>2.8533475295990263E-2</v>
      </c>
      <c r="CF88" s="373">
        <f t="shared" ca="1" si="364"/>
        <v>6.0852299531867438E-2</v>
      </c>
      <c r="CG88" s="373">
        <f t="shared" ca="1" si="364"/>
        <v>2.1511990693542371E-2</v>
      </c>
      <c r="CH88" s="373">
        <f t="shared" ca="1" si="364"/>
        <v>2.2821292576669983E-2</v>
      </c>
      <c r="CI88" s="373">
        <f t="shared" ca="1" si="364"/>
        <v>1.1104075198445029E-2</v>
      </c>
      <c r="CJ88" s="373">
        <f t="shared" ref="CJ88" ca="1" si="365">+CJ47/CI47-1</f>
        <v>8.0296104749020047E-2</v>
      </c>
      <c r="CK88" s="373">
        <f t="shared" ref="CK88" ca="1" si="366">+CK47/CJ47-1</f>
        <v>3.8423755315114549E-2</v>
      </c>
      <c r="CL88" s="373">
        <f t="shared" ref="CL88" ca="1" si="367">+CL47/CK47-1</f>
        <v>3.100992558260951E-2</v>
      </c>
      <c r="CM88" s="373">
        <f t="shared" ref="CM88" ca="1" si="368">+CM47/CL47-1</f>
        <v>1.2531044429499483E-2</v>
      </c>
      <c r="CN88" s="373">
        <f t="shared" ref="CN88" ca="1" si="369">+CN47/CM47-1</f>
        <v>7.581069935058915E-2</v>
      </c>
      <c r="CO88" s="373">
        <f t="shared" ref="CO88" ca="1" si="370">+CO47/CN47-1</f>
        <v>3.6213779896306253E-2</v>
      </c>
      <c r="CP88" s="373">
        <f t="shared" ref="CP88" ca="1" si="371">+CP47/CO47-1</f>
        <v>2.562971407200143E-2</v>
      </c>
      <c r="CQ88" s="373">
        <f t="shared" ref="CQ88" ca="1" si="372">+CQ47/CP47-1</f>
        <v>1.5002660580795801E-2</v>
      </c>
    </row>
    <row r="89" spans="1:95" s="325" customFormat="1" ht="11.25" customHeight="1">
      <c r="A89" s="331"/>
      <c r="P89" s="326"/>
      <c r="Q89" s="326"/>
      <c r="R89" s="326"/>
      <c r="S89" s="326"/>
      <c r="T89" s="326"/>
      <c r="U89" s="326"/>
      <c r="V89" s="323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  <c r="BC89" s="331"/>
      <c r="BD89" s="372">
        <f>+BD97/BD111</f>
        <v>9.7777451861781888</v>
      </c>
      <c r="BE89" s="372">
        <f>+BE97/BE111</f>
        <v>9.544766102918544</v>
      </c>
      <c r="BF89" s="372">
        <f>+BF97/BF111</f>
        <v>9.4071905252390629</v>
      </c>
      <c r="BG89" s="332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0"/>
      <c r="BU89" s="330"/>
      <c r="BV89" s="330"/>
      <c r="BW89" s="330"/>
      <c r="BX89" s="330"/>
      <c r="BY89" s="330"/>
      <c r="BZ89" s="330"/>
      <c r="CA89" s="330"/>
      <c r="CB89" s="330"/>
      <c r="CC89" s="330"/>
      <c r="CD89" s="330"/>
      <c r="CE89" s="330"/>
      <c r="CF89" s="330"/>
      <c r="CG89" s="330"/>
      <c r="CH89" s="330"/>
      <c r="CI89" s="330"/>
      <c r="CJ89" s="330"/>
      <c r="CK89" s="330"/>
      <c r="CL89" s="330"/>
      <c r="CM89" s="330"/>
      <c r="CN89" s="330"/>
      <c r="CO89" s="330"/>
      <c r="CP89" s="330"/>
      <c r="CQ89" s="330"/>
    </row>
    <row r="90" spans="1:95" s="325" customFormat="1" ht="11.25" hidden="1" customHeight="1">
      <c r="A90" s="354" t="s">
        <v>324</v>
      </c>
      <c r="B90" s="299">
        <f t="shared" ref="B90:S90" si="373">+B140</f>
        <v>2002</v>
      </c>
      <c r="C90" s="299">
        <f t="shared" si="373"/>
        <v>2003</v>
      </c>
      <c r="D90" s="299">
        <f t="shared" si="373"/>
        <v>2004</v>
      </c>
      <c r="E90" s="299">
        <f t="shared" si="373"/>
        <v>2005</v>
      </c>
      <c r="F90" s="299">
        <f t="shared" si="373"/>
        <v>2006</v>
      </c>
      <c r="G90" s="299">
        <f t="shared" si="373"/>
        <v>2007</v>
      </c>
      <c r="H90" s="299">
        <f t="shared" si="373"/>
        <v>2008</v>
      </c>
      <c r="I90" s="299">
        <f t="shared" si="373"/>
        <v>2009</v>
      </c>
      <c r="J90" s="299">
        <f t="shared" si="373"/>
        <v>2010</v>
      </c>
      <c r="K90" s="299">
        <f t="shared" si="373"/>
        <v>2011</v>
      </c>
      <c r="L90" s="299">
        <f t="shared" si="373"/>
        <v>2012</v>
      </c>
      <c r="M90" s="299">
        <f t="shared" si="373"/>
        <v>2013</v>
      </c>
      <c r="N90" s="299">
        <f t="shared" si="373"/>
        <v>2014</v>
      </c>
      <c r="O90" s="352">
        <f t="shared" si="373"/>
        <v>2015</v>
      </c>
      <c r="P90" s="181" t="str">
        <f t="shared" si="373"/>
        <v>2016E</v>
      </c>
      <c r="Q90" s="181" t="str">
        <f t="shared" si="373"/>
        <v>2017E</v>
      </c>
      <c r="R90" s="181" t="str">
        <f t="shared" si="373"/>
        <v>2018E</v>
      </c>
      <c r="S90" s="181" t="str">
        <f t="shared" si="373"/>
        <v>2019E</v>
      </c>
      <c r="T90" s="181" t="str">
        <f t="shared" ref="T90:U90" si="374">+T140</f>
        <v>2020E</v>
      </c>
      <c r="U90" s="181" t="str">
        <f t="shared" si="374"/>
        <v>2021E</v>
      </c>
      <c r="V90" s="323"/>
      <c r="W90" s="371" t="s">
        <v>323</v>
      </c>
      <c r="X90" s="371"/>
      <c r="Y90" s="352" t="str">
        <f t="shared" ref="Y90:BD90" si="375">+Y140</f>
        <v>2Q04</v>
      </c>
      <c r="Z90" s="352" t="str">
        <f t="shared" si="375"/>
        <v>3Q04</v>
      </c>
      <c r="AA90" s="352" t="str">
        <f t="shared" si="375"/>
        <v>4Q04</v>
      </c>
      <c r="AB90" s="352" t="str">
        <f t="shared" si="375"/>
        <v>1Q05</v>
      </c>
      <c r="AC90" s="352" t="str">
        <f t="shared" si="375"/>
        <v>2Q05</v>
      </c>
      <c r="AD90" s="352" t="str">
        <f t="shared" si="375"/>
        <v>3Q05</v>
      </c>
      <c r="AE90" s="352" t="str">
        <f t="shared" si="375"/>
        <v>4Q05</v>
      </c>
      <c r="AF90" s="352" t="str">
        <f t="shared" si="375"/>
        <v>1Q06</v>
      </c>
      <c r="AG90" s="352" t="str">
        <f t="shared" si="375"/>
        <v>2Q06</v>
      </c>
      <c r="AH90" s="352" t="str">
        <f t="shared" si="375"/>
        <v>3Q06</v>
      </c>
      <c r="AI90" s="352" t="str">
        <f t="shared" si="375"/>
        <v>4Q06</v>
      </c>
      <c r="AJ90" s="352" t="str">
        <f t="shared" si="375"/>
        <v>1Q07</v>
      </c>
      <c r="AK90" s="352" t="str">
        <f t="shared" si="375"/>
        <v>2Q07</v>
      </c>
      <c r="AL90" s="352" t="str">
        <f t="shared" si="375"/>
        <v>3Q07</v>
      </c>
      <c r="AM90" s="352" t="str">
        <f t="shared" si="375"/>
        <v>4Q07</v>
      </c>
      <c r="AN90" s="352" t="str">
        <f t="shared" si="375"/>
        <v>1Q08</v>
      </c>
      <c r="AO90" s="352" t="str">
        <f t="shared" si="375"/>
        <v>2Q08</v>
      </c>
      <c r="AP90" s="352" t="str">
        <f t="shared" si="375"/>
        <v>3Q08</v>
      </c>
      <c r="AQ90" s="352" t="str">
        <f t="shared" si="375"/>
        <v>4Q08</v>
      </c>
      <c r="AR90" s="352" t="str">
        <f t="shared" si="375"/>
        <v>1Q09</v>
      </c>
      <c r="AS90" s="352" t="str">
        <f t="shared" si="375"/>
        <v>2Q09</v>
      </c>
      <c r="AT90" s="352" t="str">
        <f t="shared" si="375"/>
        <v>3Q09</v>
      </c>
      <c r="AU90" s="352" t="str">
        <f t="shared" si="375"/>
        <v>4Q09</v>
      </c>
      <c r="AV90" s="352" t="str">
        <f t="shared" si="375"/>
        <v>1Q10</v>
      </c>
      <c r="AW90" s="352" t="str">
        <f t="shared" si="375"/>
        <v>2Q10</v>
      </c>
      <c r="AX90" s="352" t="str">
        <f t="shared" si="375"/>
        <v>3Q10</v>
      </c>
      <c r="AY90" s="352" t="str">
        <f t="shared" si="375"/>
        <v>4Q10</v>
      </c>
      <c r="AZ90" s="352" t="str">
        <f t="shared" si="375"/>
        <v>1Q11</v>
      </c>
      <c r="BA90" s="352" t="str">
        <f t="shared" si="375"/>
        <v>2Q11</v>
      </c>
      <c r="BB90" s="352" t="str">
        <f t="shared" si="375"/>
        <v>3Q11</v>
      </c>
      <c r="BC90" s="352" t="str">
        <f t="shared" si="375"/>
        <v>4Q11</v>
      </c>
      <c r="BD90" s="352" t="str">
        <f t="shared" si="375"/>
        <v>1Q12</v>
      </c>
      <c r="BE90" s="352" t="str">
        <f t="shared" ref="BE90:CI90" si="376">+BE140</f>
        <v>2Q12</v>
      </c>
      <c r="BF90" s="352" t="str">
        <f t="shared" si="376"/>
        <v>3Q12</v>
      </c>
      <c r="BG90" s="353" t="str">
        <f t="shared" si="376"/>
        <v>4Q12</v>
      </c>
      <c r="BH90" s="352" t="str">
        <f t="shared" si="376"/>
        <v>1Q13</v>
      </c>
      <c r="BI90" s="352" t="str">
        <f t="shared" ref="BI90" si="377">+BI140</f>
        <v>2Q13</v>
      </c>
      <c r="BJ90" s="352" t="str">
        <f t="shared" si="376"/>
        <v>3Q13</v>
      </c>
      <c r="BK90" s="352" t="str">
        <f t="shared" si="376"/>
        <v>4Q13</v>
      </c>
      <c r="BL90" s="352" t="str">
        <f t="shared" ref="BL90" si="378">+BL140</f>
        <v>1Q14</v>
      </c>
      <c r="BM90" s="352" t="str">
        <f t="shared" si="376"/>
        <v>2Q14</v>
      </c>
      <c r="BN90" s="352" t="str">
        <f t="shared" ref="BN90:BO90" si="379">+BN140</f>
        <v>3Q14</v>
      </c>
      <c r="BO90" s="352" t="str">
        <f t="shared" si="379"/>
        <v>4Q14</v>
      </c>
      <c r="BP90" s="352" t="str">
        <f t="shared" si="376"/>
        <v>1Q15</v>
      </c>
      <c r="BQ90" s="352" t="str">
        <f t="shared" si="376"/>
        <v>2Q15</v>
      </c>
      <c r="BR90" s="352" t="str">
        <f t="shared" ref="BR90:BS90" si="380">+BR140</f>
        <v>3Q15</v>
      </c>
      <c r="BS90" s="352" t="str">
        <f t="shared" si="380"/>
        <v>4Q15</v>
      </c>
      <c r="BT90" s="181" t="str">
        <f t="shared" si="376"/>
        <v>1Q16E</v>
      </c>
      <c r="BU90" s="181" t="str">
        <f t="shared" si="376"/>
        <v>2Q16E</v>
      </c>
      <c r="BV90" s="181" t="str">
        <f t="shared" si="376"/>
        <v>3Q16E</v>
      </c>
      <c r="BW90" s="181" t="str">
        <f t="shared" si="376"/>
        <v>4Q16E</v>
      </c>
      <c r="BX90" s="181" t="str">
        <f t="shared" si="376"/>
        <v>1Q17E</v>
      </c>
      <c r="BY90" s="181" t="str">
        <f t="shared" si="376"/>
        <v>2Q17E</v>
      </c>
      <c r="BZ90" s="181" t="str">
        <f t="shared" si="376"/>
        <v>3Q17E</v>
      </c>
      <c r="CA90" s="181" t="str">
        <f t="shared" si="376"/>
        <v>4Q17E</v>
      </c>
      <c r="CB90" s="181" t="str">
        <f t="shared" si="376"/>
        <v>1Q18E</v>
      </c>
      <c r="CC90" s="181" t="str">
        <f t="shared" si="376"/>
        <v>2Q18E</v>
      </c>
      <c r="CD90" s="181" t="str">
        <f t="shared" si="376"/>
        <v>3Q18E</v>
      </c>
      <c r="CE90" s="181" t="str">
        <f t="shared" si="376"/>
        <v>4Q18E</v>
      </c>
      <c r="CF90" s="181" t="str">
        <f t="shared" si="376"/>
        <v>1Q19E</v>
      </c>
      <c r="CG90" s="181" t="str">
        <f t="shared" si="376"/>
        <v>2Q19E</v>
      </c>
      <c r="CH90" s="181" t="str">
        <f t="shared" si="376"/>
        <v>3Q19E</v>
      </c>
      <c r="CI90" s="181" t="str">
        <f t="shared" si="376"/>
        <v>4Q19E</v>
      </c>
      <c r="CJ90" s="181" t="str">
        <f t="shared" ref="CJ90:CM90" si="381">+CJ140</f>
        <v>1Q20E</v>
      </c>
      <c r="CK90" s="181" t="str">
        <f t="shared" si="381"/>
        <v>2Q20E</v>
      </c>
      <c r="CL90" s="181" t="str">
        <f t="shared" si="381"/>
        <v>3Q20E</v>
      </c>
      <c r="CM90" s="181" t="str">
        <f t="shared" si="381"/>
        <v>4Q20E</v>
      </c>
      <c r="CN90" s="181" t="str">
        <f t="shared" ref="CN90:CQ90" si="382">+CN140</f>
        <v>1Q21E</v>
      </c>
      <c r="CO90" s="181" t="str">
        <f t="shared" si="382"/>
        <v>2Q21E</v>
      </c>
      <c r="CP90" s="181" t="str">
        <f t="shared" si="382"/>
        <v>3Q21E</v>
      </c>
      <c r="CQ90" s="181" t="str">
        <f t="shared" si="382"/>
        <v>4Q21E</v>
      </c>
    </row>
    <row r="91" spans="1:95" s="325" customFormat="1" ht="11.25" hidden="1" customHeight="1">
      <c r="A91" s="329" t="s">
        <v>322</v>
      </c>
      <c r="B91" s="369"/>
      <c r="C91" s="369">
        <f t="shared" ref="C91:S91" si="383">+C20</f>
        <v>0</v>
      </c>
      <c r="D91" s="369">
        <f t="shared" si="383"/>
        <v>0</v>
      </c>
      <c r="E91" s="369">
        <f t="shared" si="383"/>
        <v>0</v>
      </c>
      <c r="F91" s="369">
        <f t="shared" si="383"/>
        <v>0</v>
      </c>
      <c r="G91" s="369">
        <f t="shared" si="383"/>
        <v>0</v>
      </c>
      <c r="H91" s="369">
        <f t="shared" si="383"/>
        <v>0</v>
      </c>
      <c r="I91" s="369">
        <f t="shared" si="383"/>
        <v>2708.9553758222487</v>
      </c>
      <c r="J91" s="369">
        <f t="shared" si="383"/>
        <v>2987.3124960713994</v>
      </c>
      <c r="K91" s="369">
        <f t="shared" si="383"/>
        <v>3593.2086464596396</v>
      </c>
      <c r="L91" s="369">
        <f t="shared" si="383"/>
        <v>4242.5559182427614</v>
      </c>
      <c r="M91" s="369">
        <f t="shared" si="383"/>
        <v>4964.5505484314581</v>
      </c>
      <c r="N91" s="369">
        <f t="shared" si="383"/>
        <v>6409.8050000000003</v>
      </c>
      <c r="O91" s="369">
        <f t="shared" si="383"/>
        <v>7464.8959999999997</v>
      </c>
      <c r="P91" s="368">
        <f t="shared" ca="1" si="383"/>
        <v>8214.7221303205333</v>
      </c>
      <c r="Q91" s="368">
        <f t="shared" ca="1" si="383"/>
        <v>9046.2131558808687</v>
      </c>
      <c r="R91" s="368">
        <f t="shared" ca="1" si="383"/>
        <v>10044.276044042343</v>
      </c>
      <c r="S91" s="368">
        <f t="shared" ca="1" si="383"/>
        <v>11123.36367291896</v>
      </c>
      <c r="T91" s="368">
        <f t="shared" ref="T91:U91" ca="1" si="384">+T20</f>
        <v>12446.452521452178</v>
      </c>
      <c r="U91" s="368">
        <f t="shared" ca="1" si="384"/>
        <v>13965.020665759615</v>
      </c>
      <c r="V91" s="323"/>
      <c r="W91" s="329" t="s">
        <v>322</v>
      </c>
      <c r="X91" s="369"/>
      <c r="Y91" s="369">
        <f t="shared" ref="Y91:BD91" si="385">+Y20</f>
        <v>0</v>
      </c>
      <c r="Z91" s="369">
        <f t="shared" si="385"/>
        <v>0</v>
      </c>
      <c r="AA91" s="369">
        <f t="shared" si="385"/>
        <v>0</v>
      </c>
      <c r="AB91" s="369">
        <f t="shared" si="385"/>
        <v>0</v>
      </c>
      <c r="AC91" s="369">
        <f t="shared" si="385"/>
        <v>0</v>
      </c>
      <c r="AD91" s="369">
        <f t="shared" si="385"/>
        <v>0</v>
      </c>
      <c r="AE91" s="369">
        <f t="shared" si="385"/>
        <v>0</v>
      </c>
      <c r="AF91" s="369">
        <f t="shared" si="385"/>
        <v>0</v>
      </c>
      <c r="AG91" s="369">
        <f t="shared" si="385"/>
        <v>0</v>
      </c>
      <c r="AH91" s="369">
        <f t="shared" si="385"/>
        <v>0</v>
      </c>
      <c r="AI91" s="369">
        <f t="shared" si="385"/>
        <v>0</v>
      </c>
      <c r="AJ91" s="369">
        <f t="shared" si="385"/>
        <v>0</v>
      </c>
      <c r="AK91" s="369">
        <f t="shared" si="385"/>
        <v>0</v>
      </c>
      <c r="AL91" s="369">
        <f t="shared" si="385"/>
        <v>0</v>
      </c>
      <c r="AM91" s="369">
        <f t="shared" si="385"/>
        <v>0</v>
      </c>
      <c r="AN91" s="369">
        <f t="shared" si="385"/>
        <v>0</v>
      </c>
      <c r="AO91" s="369">
        <f t="shared" si="385"/>
        <v>0</v>
      </c>
      <c r="AP91" s="369">
        <f t="shared" si="385"/>
        <v>0</v>
      </c>
      <c r="AQ91" s="369">
        <f t="shared" si="385"/>
        <v>0</v>
      </c>
      <c r="AR91" s="369">
        <f t="shared" si="385"/>
        <v>657.54178037682004</v>
      </c>
      <c r="AS91" s="369">
        <f t="shared" si="385"/>
        <v>700.52544269614964</v>
      </c>
      <c r="AT91" s="369">
        <f t="shared" si="385"/>
        <v>662.79213491885776</v>
      </c>
      <c r="AU91" s="369">
        <f t="shared" si="385"/>
        <v>688.09601783042126</v>
      </c>
      <c r="AV91" s="369">
        <f t="shared" si="385"/>
        <v>699.41589289638011</v>
      </c>
      <c r="AW91" s="369">
        <f t="shared" si="385"/>
        <v>733.79458866727987</v>
      </c>
      <c r="AX91" s="369">
        <f t="shared" si="385"/>
        <v>760.60336819217036</v>
      </c>
      <c r="AY91" s="369">
        <f t="shared" si="385"/>
        <v>793.49864631556943</v>
      </c>
      <c r="AZ91" s="369">
        <f t="shared" si="385"/>
        <v>863.48996676229012</v>
      </c>
      <c r="BA91" s="369">
        <f t="shared" si="385"/>
        <v>862.6069261333198</v>
      </c>
      <c r="BB91" s="369">
        <f t="shared" si="385"/>
        <v>907.47769256734932</v>
      </c>
      <c r="BC91" s="369">
        <f t="shared" si="385"/>
        <v>959.63406099668009</v>
      </c>
      <c r="BD91" s="369">
        <f t="shared" si="385"/>
        <v>996.68565544576995</v>
      </c>
      <c r="BE91" s="369">
        <f t="shared" ref="BE91:CI91" si="386">+BE20</f>
        <v>1052.6981772085205</v>
      </c>
      <c r="BF91" s="369">
        <f t="shared" si="386"/>
        <v>1084.6466198602195</v>
      </c>
      <c r="BG91" s="370">
        <f t="shared" si="386"/>
        <v>1108.5254657282514</v>
      </c>
      <c r="BH91" s="369">
        <f t="shared" si="386"/>
        <v>1164.6147928116097</v>
      </c>
      <c r="BI91" s="369">
        <f t="shared" ref="BI91" si="387">+BI20</f>
        <v>1198.9473500777399</v>
      </c>
      <c r="BJ91" s="369">
        <f t="shared" si="386"/>
        <v>1281.566526894811</v>
      </c>
      <c r="BK91" s="369">
        <f t="shared" si="386"/>
        <v>1319.4218786472986</v>
      </c>
      <c r="BL91" s="369">
        <f t="shared" ref="BL91" si="388">+BL20</f>
        <v>1401.723</v>
      </c>
      <c r="BM91" s="369">
        <f t="shared" si="386"/>
        <v>1610.5</v>
      </c>
      <c r="BN91" s="369">
        <f t="shared" ref="BN91:BO91" si="389">+BN20</f>
        <v>1686.1840000000002</v>
      </c>
      <c r="BO91" s="369">
        <f t="shared" si="389"/>
        <v>1711.3979999999997</v>
      </c>
      <c r="BP91" s="369">
        <f t="shared" si="386"/>
        <v>1785.3630000000001</v>
      </c>
      <c r="BQ91" s="369">
        <f t="shared" si="386"/>
        <v>1837.2000000000003</v>
      </c>
      <c r="BR91" s="369">
        <f t="shared" ref="BR91:BS91" si="390">+BR20</f>
        <v>1866.893</v>
      </c>
      <c r="BS91" s="369">
        <f t="shared" si="390"/>
        <v>1975.44</v>
      </c>
      <c r="BT91" s="368">
        <f t="shared" ca="1" si="386"/>
        <v>1992.7189384091871</v>
      </c>
      <c r="BU91" s="368">
        <f t="shared" ca="1" si="386"/>
        <v>2014.5886780382161</v>
      </c>
      <c r="BV91" s="368">
        <f t="shared" ca="1" si="386"/>
        <v>2077.1737932723613</v>
      </c>
      <c r="BW91" s="368">
        <f t="shared" ca="1" si="386"/>
        <v>2130.2407206007701</v>
      </c>
      <c r="BX91" s="368">
        <f t="shared" ca="1" si="386"/>
        <v>2177.3150431470226</v>
      </c>
      <c r="BY91" s="368">
        <f t="shared" ca="1" si="386"/>
        <v>2234.6655779476796</v>
      </c>
      <c r="BZ91" s="368">
        <f t="shared" ca="1" si="386"/>
        <v>2283.5771335913391</v>
      </c>
      <c r="CA91" s="368">
        <f t="shared" ca="1" si="386"/>
        <v>2350.6554011948247</v>
      </c>
      <c r="CB91" s="368">
        <f t="shared" ca="1" si="386"/>
        <v>2382.3416275108361</v>
      </c>
      <c r="CC91" s="368">
        <f t="shared" ca="1" si="386"/>
        <v>2476.3699508085097</v>
      </c>
      <c r="CD91" s="368">
        <f t="shared" ca="1" si="386"/>
        <v>2543.1392016281447</v>
      </c>
      <c r="CE91" s="368">
        <f t="shared" ca="1" si="386"/>
        <v>2642.4252640948512</v>
      </c>
      <c r="CF91" s="368">
        <f t="shared" ca="1" si="386"/>
        <v>2679.7054593935418</v>
      </c>
      <c r="CG91" s="368">
        <f t="shared" ca="1" si="386"/>
        <v>2741.4092196851234</v>
      </c>
      <c r="CH91" s="368">
        <f t="shared" ca="1" si="386"/>
        <v>2806.0563960804379</v>
      </c>
      <c r="CI91" s="368">
        <f t="shared" ca="1" si="386"/>
        <v>2896.1925977598567</v>
      </c>
      <c r="CJ91" s="368">
        <f t="shared" ref="CJ91:CM91" ca="1" si="391">+CJ20</f>
        <v>2971.0882811379188</v>
      </c>
      <c r="CK91" s="368">
        <f t="shared" ca="1" si="391"/>
        <v>3066.2661769276692</v>
      </c>
      <c r="CL91" s="368">
        <f t="shared" ca="1" si="391"/>
        <v>3152.7098711292092</v>
      </c>
      <c r="CM91" s="368">
        <f t="shared" ca="1" si="391"/>
        <v>3256.388192257381</v>
      </c>
      <c r="CN91" s="368">
        <f t="shared" ref="CN91:CQ91" ca="1" si="392">+CN20</f>
        <v>3331.9325598503942</v>
      </c>
      <c r="CO91" s="368">
        <f t="shared" ca="1" si="392"/>
        <v>3439.4058230102173</v>
      </c>
      <c r="CP91" s="368">
        <f t="shared" ca="1" si="392"/>
        <v>3538.3272004214818</v>
      </c>
      <c r="CQ91" s="368">
        <f t="shared" ca="1" si="392"/>
        <v>3655.3550824775252</v>
      </c>
    </row>
    <row r="92" spans="1:95" s="325" customFormat="1" ht="11.25" hidden="1" customHeight="1">
      <c r="A92" s="329" t="s">
        <v>321</v>
      </c>
      <c r="B92" s="369"/>
      <c r="C92" s="369">
        <f t="shared" ref="C92:S92" si="393">C26+C27+C32+C30</f>
        <v>0</v>
      </c>
      <c r="D92" s="369">
        <f t="shared" si="393"/>
        <v>0</v>
      </c>
      <c r="E92" s="369">
        <f t="shared" si="393"/>
        <v>0</v>
      </c>
      <c r="F92" s="369">
        <f t="shared" si="393"/>
        <v>0</v>
      </c>
      <c r="G92" s="369">
        <f t="shared" si="393"/>
        <v>0</v>
      </c>
      <c r="H92" s="369">
        <f t="shared" si="393"/>
        <v>0</v>
      </c>
      <c r="I92" s="369">
        <f t="shared" si="393"/>
        <v>1734.9632852208774</v>
      </c>
      <c r="J92" s="369">
        <f t="shared" si="393"/>
        <v>2037.3123538017298</v>
      </c>
      <c r="K92" s="369">
        <f t="shared" si="393"/>
        <v>2275.7369434841585</v>
      </c>
      <c r="L92" s="369">
        <f t="shared" si="393"/>
        <v>2762.34705951872</v>
      </c>
      <c r="M92" s="369">
        <f t="shared" si="393"/>
        <v>3124.5206785010155</v>
      </c>
      <c r="N92" s="369">
        <f t="shared" si="393"/>
        <v>3505.6039999999998</v>
      </c>
      <c r="O92" s="369">
        <f t="shared" si="393"/>
        <v>4080.6359999999995</v>
      </c>
      <c r="P92" s="368">
        <f t="shared" si="393"/>
        <v>4487.1668660299893</v>
      </c>
      <c r="Q92" s="368">
        <f t="shared" si="393"/>
        <v>4968.9521163802719</v>
      </c>
      <c r="R92" s="368">
        <f t="shared" si="393"/>
        <v>5624.7896192614799</v>
      </c>
      <c r="S92" s="368">
        <f t="shared" si="393"/>
        <v>6290.459733117068</v>
      </c>
      <c r="T92" s="368">
        <f t="shared" ref="T92:U92" si="394">T26+T27+T32+T30</f>
        <v>7044.1459649835479</v>
      </c>
      <c r="U92" s="368">
        <f t="shared" si="394"/>
        <v>7897.7944026475043</v>
      </c>
      <c r="V92" s="323"/>
      <c r="W92" s="329" t="s">
        <v>320</v>
      </c>
      <c r="X92" s="369"/>
      <c r="Y92" s="369">
        <f t="shared" ref="Y92:BD92" si="395">Y26+Y27+Y32+Y30</f>
        <v>0</v>
      </c>
      <c r="Z92" s="369">
        <f t="shared" si="395"/>
        <v>0</v>
      </c>
      <c r="AA92" s="369">
        <f t="shared" si="395"/>
        <v>0</v>
      </c>
      <c r="AB92" s="369">
        <f t="shared" si="395"/>
        <v>0</v>
      </c>
      <c r="AC92" s="369">
        <f t="shared" si="395"/>
        <v>0</v>
      </c>
      <c r="AD92" s="369">
        <f t="shared" si="395"/>
        <v>0</v>
      </c>
      <c r="AE92" s="369">
        <f t="shared" si="395"/>
        <v>0</v>
      </c>
      <c r="AF92" s="369">
        <f t="shared" si="395"/>
        <v>0</v>
      </c>
      <c r="AG92" s="369">
        <f t="shared" si="395"/>
        <v>0</v>
      </c>
      <c r="AH92" s="369">
        <f t="shared" si="395"/>
        <v>0</v>
      </c>
      <c r="AI92" s="369">
        <f t="shared" si="395"/>
        <v>0</v>
      </c>
      <c r="AJ92" s="369">
        <f t="shared" si="395"/>
        <v>0</v>
      </c>
      <c r="AK92" s="369">
        <f t="shared" si="395"/>
        <v>0</v>
      </c>
      <c r="AL92" s="369">
        <f t="shared" si="395"/>
        <v>0</v>
      </c>
      <c r="AM92" s="369">
        <f t="shared" si="395"/>
        <v>0</v>
      </c>
      <c r="AN92" s="369">
        <f t="shared" si="395"/>
        <v>0</v>
      </c>
      <c r="AO92" s="369">
        <f t="shared" si="395"/>
        <v>0</v>
      </c>
      <c r="AP92" s="369">
        <f t="shared" si="395"/>
        <v>0</v>
      </c>
      <c r="AQ92" s="369">
        <f t="shared" si="395"/>
        <v>0</v>
      </c>
      <c r="AR92" s="369">
        <f t="shared" si="395"/>
        <v>387.11675316400004</v>
      </c>
      <c r="AS92" s="369">
        <f t="shared" si="395"/>
        <v>423.40454609002001</v>
      </c>
      <c r="AT92" s="369">
        <f t="shared" si="395"/>
        <v>434.49728403985671</v>
      </c>
      <c r="AU92" s="369">
        <f t="shared" si="395"/>
        <v>489.94470192700089</v>
      </c>
      <c r="AV92" s="369">
        <f t="shared" si="395"/>
        <v>482.03178376950007</v>
      </c>
      <c r="AW92" s="369">
        <f t="shared" si="395"/>
        <v>509.48623446911967</v>
      </c>
      <c r="AX92" s="369">
        <f t="shared" si="395"/>
        <v>519.07069189072013</v>
      </c>
      <c r="AY92" s="369">
        <f t="shared" si="395"/>
        <v>526.72364367239015</v>
      </c>
      <c r="AZ92" s="369">
        <f t="shared" si="395"/>
        <v>553.3720215683993</v>
      </c>
      <c r="BA92" s="369">
        <f t="shared" si="395"/>
        <v>585.0343408260494</v>
      </c>
      <c r="BB92" s="369">
        <f t="shared" si="395"/>
        <v>579.52082001590247</v>
      </c>
      <c r="BC92" s="369">
        <f t="shared" si="395"/>
        <v>557.80976107380775</v>
      </c>
      <c r="BD92" s="369">
        <f t="shared" si="395"/>
        <v>551.04604600711014</v>
      </c>
      <c r="BE92" s="369">
        <f t="shared" ref="BE92:CI92" si="396">BE26+BE27+BE32+BE30</f>
        <v>708.70257530890035</v>
      </c>
      <c r="BF92" s="369">
        <f t="shared" si="396"/>
        <v>734.92187045096034</v>
      </c>
      <c r="BG92" s="370">
        <f t="shared" si="396"/>
        <v>767.67656775174919</v>
      </c>
      <c r="BH92" s="369">
        <f t="shared" si="396"/>
        <v>739.51392597267977</v>
      </c>
      <c r="BI92" s="369">
        <f t="shared" ref="BI92" si="397">BI26+BI27+BI32+BI30</f>
        <v>791.96738539149715</v>
      </c>
      <c r="BJ92" s="369">
        <f t="shared" si="396"/>
        <v>837.69287172386487</v>
      </c>
      <c r="BK92" s="369">
        <f t="shared" si="396"/>
        <v>755.34649541297381</v>
      </c>
      <c r="BL92" s="369">
        <f t="shared" ref="BL92" si="398">BL26+BL27+BL32+BL30</f>
        <v>847.93799999999999</v>
      </c>
      <c r="BM92" s="369">
        <f t="shared" si="396"/>
        <v>906.46299999999997</v>
      </c>
      <c r="BN92" s="369">
        <f t="shared" ref="BN92:BO92" si="399">BN26+BN27+BN32+BN30</f>
        <v>867.77900000000011</v>
      </c>
      <c r="BO92" s="369">
        <f t="shared" si="399"/>
        <v>883.42399999999998</v>
      </c>
      <c r="BP92" s="369">
        <f t="shared" si="396"/>
        <v>1087.6779999999999</v>
      </c>
      <c r="BQ92" s="369">
        <f t="shared" si="396"/>
        <v>934.05399999999997</v>
      </c>
      <c r="BR92" s="369">
        <f t="shared" ref="BR92:BS92" si="400">BR26+BR27+BR32+BR30</f>
        <v>986.4380000000001</v>
      </c>
      <c r="BS92" s="369">
        <f t="shared" si="400"/>
        <v>1072.4660000000001</v>
      </c>
      <c r="BT92" s="368">
        <f t="shared" si="396"/>
        <v>1069.8370814494378</v>
      </c>
      <c r="BU92" s="368">
        <f t="shared" si="396"/>
        <v>1104.0238420619471</v>
      </c>
      <c r="BV92" s="368">
        <f t="shared" si="396"/>
        <v>1130.6755241707865</v>
      </c>
      <c r="BW92" s="368">
        <f t="shared" si="396"/>
        <v>1182.6304183478182</v>
      </c>
      <c r="BX92" s="368">
        <f t="shared" si="396"/>
        <v>1184.3607615635954</v>
      </c>
      <c r="BY92" s="368">
        <f t="shared" si="396"/>
        <v>1222.6633507459876</v>
      </c>
      <c r="BZ92" s="368">
        <f t="shared" si="396"/>
        <v>1251.9940630324838</v>
      </c>
      <c r="CA92" s="368">
        <f t="shared" si="396"/>
        <v>1309.9339410382045</v>
      </c>
      <c r="CB92" s="368">
        <f t="shared" si="396"/>
        <v>1346.1200599956946</v>
      </c>
      <c r="CC92" s="368">
        <f t="shared" si="396"/>
        <v>1390.614264022804</v>
      </c>
      <c r="CD92" s="368">
        <f t="shared" si="396"/>
        <v>1424.4963080461891</v>
      </c>
      <c r="CE92" s="368">
        <f t="shared" si="396"/>
        <v>1463.5589871967913</v>
      </c>
      <c r="CF92" s="368">
        <f t="shared" si="396"/>
        <v>1504.4969932134347</v>
      </c>
      <c r="CG92" s="368">
        <f t="shared" si="396"/>
        <v>1555.1810656241407</v>
      </c>
      <c r="CH92" s="368">
        <f t="shared" si="396"/>
        <v>1593.3057546609605</v>
      </c>
      <c r="CI92" s="368">
        <f t="shared" si="396"/>
        <v>1637.4759196185314</v>
      </c>
      <c r="CJ92" s="368">
        <f t="shared" ref="CJ92:CM92" si="401">CJ26+CJ27+CJ32+CJ30</f>
        <v>1683.7941509310829</v>
      </c>
      <c r="CK92" s="368">
        <f t="shared" si="401"/>
        <v>1741.5442671500855</v>
      </c>
      <c r="CL92" s="368">
        <f t="shared" si="401"/>
        <v>1784.4437617272492</v>
      </c>
      <c r="CM92" s="368">
        <f t="shared" si="401"/>
        <v>1834.3637851751291</v>
      </c>
      <c r="CN92" s="368">
        <f t="shared" ref="CN92:CQ92" si="402">CN26+CN27+CN32+CN30</f>
        <v>1886.7963025399267</v>
      </c>
      <c r="CO92" s="368">
        <f t="shared" si="402"/>
        <v>1952.6414150972921</v>
      </c>
      <c r="CP92" s="368">
        <f t="shared" si="402"/>
        <v>2000.9253456014624</v>
      </c>
      <c r="CQ92" s="368">
        <f t="shared" si="402"/>
        <v>2057.4313394088235</v>
      </c>
    </row>
    <row r="93" spans="1:95" s="325" customFormat="1" ht="11.25" hidden="1" customHeight="1">
      <c r="A93" s="329" t="s">
        <v>319</v>
      </c>
      <c r="B93" s="369"/>
      <c r="C93" s="369">
        <f t="shared" ref="C93:S93" si="403">(+C92+C91)</f>
        <v>0</v>
      </c>
      <c r="D93" s="369">
        <f t="shared" si="403"/>
        <v>0</v>
      </c>
      <c r="E93" s="369">
        <f t="shared" si="403"/>
        <v>0</v>
      </c>
      <c r="F93" s="369">
        <f t="shared" si="403"/>
        <v>0</v>
      </c>
      <c r="G93" s="369">
        <f t="shared" si="403"/>
        <v>0</v>
      </c>
      <c r="H93" s="369">
        <f t="shared" si="403"/>
        <v>0</v>
      </c>
      <c r="I93" s="369">
        <f t="shared" si="403"/>
        <v>4443.9186610431261</v>
      </c>
      <c r="J93" s="369">
        <f t="shared" si="403"/>
        <v>5024.6248498731293</v>
      </c>
      <c r="K93" s="369">
        <f t="shared" si="403"/>
        <v>5868.945589943798</v>
      </c>
      <c r="L93" s="369">
        <f t="shared" si="403"/>
        <v>7004.9029777614815</v>
      </c>
      <c r="M93" s="369">
        <f t="shared" si="403"/>
        <v>8089.071226932474</v>
      </c>
      <c r="N93" s="369">
        <f t="shared" si="403"/>
        <v>9915.4089999999997</v>
      </c>
      <c r="O93" s="369">
        <f t="shared" si="403"/>
        <v>11545.531999999999</v>
      </c>
      <c r="P93" s="368">
        <f t="shared" ca="1" si="403"/>
        <v>12701.888996350523</v>
      </c>
      <c r="Q93" s="368">
        <f t="shared" ca="1" si="403"/>
        <v>14015.16527226114</v>
      </c>
      <c r="R93" s="368">
        <f t="shared" ca="1" si="403"/>
        <v>15669.065663303823</v>
      </c>
      <c r="S93" s="368">
        <f t="shared" ca="1" si="403"/>
        <v>17413.823406036026</v>
      </c>
      <c r="T93" s="368">
        <f t="shared" ref="T93:U93" ca="1" si="404">(+T92+T91)</f>
        <v>19490.598486435727</v>
      </c>
      <c r="U93" s="368">
        <f t="shared" ca="1" si="404"/>
        <v>21862.815068407119</v>
      </c>
      <c r="V93" s="323"/>
      <c r="W93" s="329" t="s">
        <v>318</v>
      </c>
      <c r="X93" s="369"/>
      <c r="Y93" s="369">
        <f t="shared" ref="Y93:BD93" si="405">(+Y92+Y91)</f>
        <v>0</v>
      </c>
      <c r="Z93" s="369">
        <f t="shared" si="405"/>
        <v>0</v>
      </c>
      <c r="AA93" s="369">
        <f t="shared" si="405"/>
        <v>0</v>
      </c>
      <c r="AB93" s="369">
        <f t="shared" si="405"/>
        <v>0</v>
      </c>
      <c r="AC93" s="369">
        <f t="shared" si="405"/>
        <v>0</v>
      </c>
      <c r="AD93" s="369">
        <f t="shared" si="405"/>
        <v>0</v>
      </c>
      <c r="AE93" s="369">
        <f t="shared" si="405"/>
        <v>0</v>
      </c>
      <c r="AF93" s="369">
        <f t="shared" si="405"/>
        <v>0</v>
      </c>
      <c r="AG93" s="369">
        <f t="shared" si="405"/>
        <v>0</v>
      </c>
      <c r="AH93" s="369">
        <f t="shared" si="405"/>
        <v>0</v>
      </c>
      <c r="AI93" s="369">
        <f t="shared" si="405"/>
        <v>0</v>
      </c>
      <c r="AJ93" s="369">
        <f t="shared" si="405"/>
        <v>0</v>
      </c>
      <c r="AK93" s="369">
        <f t="shared" si="405"/>
        <v>0</v>
      </c>
      <c r="AL93" s="369">
        <f t="shared" si="405"/>
        <v>0</v>
      </c>
      <c r="AM93" s="369">
        <f t="shared" si="405"/>
        <v>0</v>
      </c>
      <c r="AN93" s="369">
        <f t="shared" si="405"/>
        <v>0</v>
      </c>
      <c r="AO93" s="369">
        <f t="shared" si="405"/>
        <v>0</v>
      </c>
      <c r="AP93" s="369">
        <f t="shared" si="405"/>
        <v>0</v>
      </c>
      <c r="AQ93" s="369">
        <f t="shared" si="405"/>
        <v>0</v>
      </c>
      <c r="AR93" s="369">
        <f t="shared" si="405"/>
        <v>1044.6585335408201</v>
      </c>
      <c r="AS93" s="369">
        <f t="shared" si="405"/>
        <v>1123.9299887861696</v>
      </c>
      <c r="AT93" s="369">
        <f t="shared" si="405"/>
        <v>1097.2894189587146</v>
      </c>
      <c r="AU93" s="369">
        <f t="shared" si="405"/>
        <v>1178.0407197574223</v>
      </c>
      <c r="AV93" s="369">
        <f t="shared" si="405"/>
        <v>1181.4476766658802</v>
      </c>
      <c r="AW93" s="369">
        <f t="shared" si="405"/>
        <v>1243.2808231363995</v>
      </c>
      <c r="AX93" s="369">
        <f t="shared" si="405"/>
        <v>1279.6740600828905</v>
      </c>
      <c r="AY93" s="369">
        <f t="shared" si="405"/>
        <v>1320.2222899879596</v>
      </c>
      <c r="AZ93" s="369">
        <f t="shared" si="405"/>
        <v>1416.8619883306894</v>
      </c>
      <c r="BA93" s="369">
        <f t="shared" si="405"/>
        <v>1447.6412669593692</v>
      </c>
      <c r="BB93" s="369">
        <f t="shared" si="405"/>
        <v>1486.9985125832518</v>
      </c>
      <c r="BC93" s="369">
        <f t="shared" si="405"/>
        <v>1517.4438220704878</v>
      </c>
      <c r="BD93" s="369">
        <f t="shared" si="405"/>
        <v>1547.7317014528801</v>
      </c>
      <c r="BE93" s="369">
        <f t="shared" ref="BE93:CI93" si="406">(+BE92+BE91)</f>
        <v>1761.4007525174209</v>
      </c>
      <c r="BF93" s="369">
        <f t="shared" si="406"/>
        <v>1819.5684903111799</v>
      </c>
      <c r="BG93" s="370">
        <f t="shared" si="406"/>
        <v>1876.2020334800006</v>
      </c>
      <c r="BH93" s="369">
        <f t="shared" si="406"/>
        <v>1904.1287187842895</v>
      </c>
      <c r="BI93" s="369">
        <f t="shared" ref="BI93" si="407">(+BI92+BI91)</f>
        <v>1990.914735469237</v>
      </c>
      <c r="BJ93" s="369">
        <f t="shared" si="406"/>
        <v>2119.2593986186757</v>
      </c>
      <c r="BK93" s="369">
        <f t="shared" si="406"/>
        <v>2074.7683740602724</v>
      </c>
      <c r="BL93" s="369">
        <f t="shared" ref="BL93" si="408">(+BL92+BL91)</f>
        <v>2249.6610000000001</v>
      </c>
      <c r="BM93" s="369">
        <f t="shared" si="406"/>
        <v>2516.9629999999997</v>
      </c>
      <c r="BN93" s="369">
        <f t="shared" ref="BN93:BO93" si="409">(+BN92+BN91)</f>
        <v>2553.9630000000002</v>
      </c>
      <c r="BO93" s="369">
        <f t="shared" si="409"/>
        <v>2594.8219999999997</v>
      </c>
      <c r="BP93" s="369">
        <f t="shared" si="406"/>
        <v>2873.0410000000002</v>
      </c>
      <c r="BQ93" s="369">
        <f t="shared" si="406"/>
        <v>2771.2540000000004</v>
      </c>
      <c r="BR93" s="369">
        <f t="shared" ref="BR93:BS93" si="410">(+BR92+BR91)</f>
        <v>2853.3310000000001</v>
      </c>
      <c r="BS93" s="369">
        <f t="shared" si="410"/>
        <v>3047.9059999999999</v>
      </c>
      <c r="BT93" s="368">
        <f t="shared" ca="1" si="406"/>
        <v>3062.5560198586249</v>
      </c>
      <c r="BU93" s="368">
        <f t="shared" ca="1" si="406"/>
        <v>3118.6125201001632</v>
      </c>
      <c r="BV93" s="368">
        <f t="shared" ca="1" si="406"/>
        <v>3207.8493174431478</v>
      </c>
      <c r="BW93" s="368">
        <f t="shared" ca="1" si="406"/>
        <v>3312.8711389485884</v>
      </c>
      <c r="BX93" s="368">
        <f t="shared" ca="1" si="406"/>
        <v>3361.6758047106177</v>
      </c>
      <c r="BY93" s="368">
        <f t="shared" ca="1" si="406"/>
        <v>3457.328928693667</v>
      </c>
      <c r="BZ93" s="368">
        <f t="shared" ca="1" si="406"/>
        <v>3535.5711966238232</v>
      </c>
      <c r="CA93" s="368">
        <f t="shared" ca="1" si="406"/>
        <v>3660.5893422330291</v>
      </c>
      <c r="CB93" s="368">
        <f t="shared" ca="1" si="406"/>
        <v>3728.4616875065308</v>
      </c>
      <c r="CC93" s="368">
        <f t="shared" ca="1" si="406"/>
        <v>3866.9842148313137</v>
      </c>
      <c r="CD93" s="368">
        <f t="shared" ca="1" si="406"/>
        <v>3967.6355096743337</v>
      </c>
      <c r="CE93" s="368">
        <f t="shared" ca="1" si="406"/>
        <v>4105.9842512916421</v>
      </c>
      <c r="CF93" s="368">
        <f t="shared" ca="1" si="406"/>
        <v>4184.2024526069763</v>
      </c>
      <c r="CG93" s="368">
        <f t="shared" ca="1" si="406"/>
        <v>4296.5902853092639</v>
      </c>
      <c r="CH93" s="368">
        <f t="shared" ca="1" si="406"/>
        <v>4399.3621507413982</v>
      </c>
      <c r="CI93" s="368">
        <f t="shared" ca="1" si="406"/>
        <v>4533.6685173783881</v>
      </c>
      <c r="CJ93" s="368">
        <f t="shared" ref="CJ93:CM93" ca="1" si="411">(+CJ92+CJ91)</f>
        <v>4654.8824320690019</v>
      </c>
      <c r="CK93" s="368">
        <f t="shared" ca="1" si="411"/>
        <v>4807.8104440777552</v>
      </c>
      <c r="CL93" s="368">
        <f t="shared" ca="1" si="411"/>
        <v>4937.153632856458</v>
      </c>
      <c r="CM93" s="368">
        <f t="shared" ca="1" si="411"/>
        <v>5090.7519774325101</v>
      </c>
      <c r="CN93" s="368">
        <f t="shared" ref="CN93:CQ93" ca="1" si="412">(+CN92+CN91)</f>
        <v>5218.7288623903205</v>
      </c>
      <c r="CO93" s="368">
        <f t="shared" ca="1" si="412"/>
        <v>5392.0472381075097</v>
      </c>
      <c r="CP93" s="368">
        <f t="shared" ca="1" si="412"/>
        <v>5539.2525460229444</v>
      </c>
      <c r="CQ93" s="368">
        <f t="shared" ca="1" si="412"/>
        <v>5712.7864218863488</v>
      </c>
    </row>
    <row r="94" spans="1:95" s="325" customFormat="1" ht="11.25" hidden="1" customHeight="1">
      <c r="A94" s="336" t="s">
        <v>295</v>
      </c>
      <c r="B94" s="334"/>
      <c r="C94" s="334"/>
      <c r="D94" s="334" t="e">
        <f t="shared" ref="D94:U94" si="413">+D93/C93-1</f>
        <v>#DIV/0!</v>
      </c>
      <c r="E94" s="334" t="e">
        <f t="shared" si="413"/>
        <v>#DIV/0!</v>
      </c>
      <c r="F94" s="334" t="e">
        <f t="shared" si="413"/>
        <v>#DIV/0!</v>
      </c>
      <c r="G94" s="334" t="e">
        <f t="shared" si="413"/>
        <v>#DIV/0!</v>
      </c>
      <c r="H94" s="334" t="e">
        <f t="shared" si="413"/>
        <v>#DIV/0!</v>
      </c>
      <c r="I94" s="334" t="e">
        <f t="shared" si="413"/>
        <v>#DIV/0!</v>
      </c>
      <c r="J94" s="334">
        <f t="shared" si="413"/>
        <v>0.13067435142786654</v>
      </c>
      <c r="K94" s="334">
        <f t="shared" si="413"/>
        <v>0.16803657293777619</v>
      </c>
      <c r="L94" s="334">
        <f t="shared" si="413"/>
        <v>0.1935539136304314</v>
      </c>
      <c r="M94" s="334">
        <f t="shared" si="413"/>
        <v>0.15477277167334225</v>
      </c>
      <c r="N94" s="334">
        <f t="shared" si="413"/>
        <v>0.22577842645108048</v>
      </c>
      <c r="O94" s="334">
        <f t="shared" si="413"/>
        <v>0.16440300142939135</v>
      </c>
      <c r="P94" s="333">
        <f t="shared" ca="1" si="413"/>
        <v>0.10015623328145673</v>
      </c>
      <c r="Q94" s="333">
        <f t="shared" ca="1" si="413"/>
        <v>0.10339220223763124</v>
      </c>
      <c r="R94" s="333">
        <f t="shared" ca="1" si="413"/>
        <v>0.11800791206623074</v>
      </c>
      <c r="S94" s="333">
        <f t="shared" ca="1" si="413"/>
        <v>0.11135046468139698</v>
      </c>
      <c r="T94" s="333">
        <f t="shared" ca="1" si="413"/>
        <v>0.11926014362129367</v>
      </c>
      <c r="U94" s="333">
        <f t="shared" ca="1" si="413"/>
        <v>0.12171081270912798</v>
      </c>
      <c r="V94" s="323"/>
      <c r="W94" s="336" t="s">
        <v>295</v>
      </c>
      <c r="X94" s="334"/>
      <c r="Y94" s="334" t="e">
        <f t="shared" ref="Y94:BD94" si="414">+Y93/X93-1</f>
        <v>#DIV/0!</v>
      </c>
      <c r="Z94" s="334" t="e">
        <f t="shared" si="414"/>
        <v>#DIV/0!</v>
      </c>
      <c r="AA94" s="334" t="e">
        <f t="shared" si="414"/>
        <v>#DIV/0!</v>
      </c>
      <c r="AB94" s="334" t="e">
        <f t="shared" si="414"/>
        <v>#DIV/0!</v>
      </c>
      <c r="AC94" s="334" t="e">
        <f t="shared" si="414"/>
        <v>#DIV/0!</v>
      </c>
      <c r="AD94" s="334" t="e">
        <f t="shared" si="414"/>
        <v>#DIV/0!</v>
      </c>
      <c r="AE94" s="334" t="e">
        <f t="shared" si="414"/>
        <v>#DIV/0!</v>
      </c>
      <c r="AF94" s="334" t="e">
        <f t="shared" si="414"/>
        <v>#DIV/0!</v>
      </c>
      <c r="AG94" s="334" t="e">
        <f t="shared" si="414"/>
        <v>#DIV/0!</v>
      </c>
      <c r="AH94" s="334" t="e">
        <f t="shared" si="414"/>
        <v>#DIV/0!</v>
      </c>
      <c r="AI94" s="334" t="e">
        <f t="shared" si="414"/>
        <v>#DIV/0!</v>
      </c>
      <c r="AJ94" s="334" t="e">
        <f t="shared" si="414"/>
        <v>#DIV/0!</v>
      </c>
      <c r="AK94" s="334" t="e">
        <f t="shared" si="414"/>
        <v>#DIV/0!</v>
      </c>
      <c r="AL94" s="334" t="e">
        <f t="shared" si="414"/>
        <v>#DIV/0!</v>
      </c>
      <c r="AM94" s="334" t="e">
        <f t="shared" si="414"/>
        <v>#DIV/0!</v>
      </c>
      <c r="AN94" s="334" t="e">
        <f t="shared" si="414"/>
        <v>#DIV/0!</v>
      </c>
      <c r="AO94" s="334" t="e">
        <f t="shared" si="414"/>
        <v>#DIV/0!</v>
      </c>
      <c r="AP94" s="334" t="e">
        <f t="shared" si="414"/>
        <v>#DIV/0!</v>
      </c>
      <c r="AQ94" s="334" t="e">
        <f t="shared" si="414"/>
        <v>#DIV/0!</v>
      </c>
      <c r="AR94" s="334" t="e">
        <f t="shared" si="414"/>
        <v>#DIV/0!</v>
      </c>
      <c r="AS94" s="334">
        <f t="shared" si="414"/>
        <v>7.5882647487368615E-2</v>
      </c>
      <c r="AT94" s="334">
        <f t="shared" si="414"/>
        <v>-2.3703050984720586E-2</v>
      </c>
      <c r="AU94" s="334">
        <f t="shared" si="414"/>
        <v>7.3591615305411029E-2</v>
      </c>
      <c r="AV94" s="334">
        <f t="shared" si="414"/>
        <v>2.892053603341882E-3</v>
      </c>
      <c r="AW94" s="334">
        <f t="shared" si="414"/>
        <v>5.2336762509040069E-2</v>
      </c>
      <c r="AX94" s="334">
        <f t="shared" si="414"/>
        <v>2.9271936210423011E-2</v>
      </c>
      <c r="AY94" s="334">
        <f t="shared" si="414"/>
        <v>3.1686373249171451E-2</v>
      </c>
      <c r="AZ94" s="334">
        <f t="shared" si="414"/>
        <v>7.3199565766770336E-2</v>
      </c>
      <c r="BA94" s="334">
        <f t="shared" si="414"/>
        <v>2.1723554504375686E-2</v>
      </c>
      <c r="BB94" s="334">
        <f t="shared" si="414"/>
        <v>2.7187153697648236E-2</v>
      </c>
      <c r="BC94" s="334">
        <f t="shared" si="414"/>
        <v>2.0474337552863986E-2</v>
      </c>
      <c r="BD94" s="334">
        <f t="shared" si="414"/>
        <v>1.9959802756365441E-2</v>
      </c>
      <c r="BE94" s="334">
        <f t="shared" ref="BE94:CI94" si="415">+BE93/BD93-1</f>
        <v>0.13805303003354275</v>
      </c>
      <c r="BF94" s="334">
        <f t="shared" si="415"/>
        <v>3.302356815200902E-2</v>
      </c>
      <c r="BG94" s="335">
        <f t="shared" si="415"/>
        <v>3.1124710869847805E-2</v>
      </c>
      <c r="BH94" s="334">
        <f t="shared" si="415"/>
        <v>1.488468981802038E-2</v>
      </c>
      <c r="BI94" s="334">
        <f t="shared" si="415"/>
        <v>4.5577809855395168E-2</v>
      </c>
      <c r="BJ94" s="334">
        <f t="shared" si="415"/>
        <v>6.4465173150265231E-2</v>
      </c>
      <c r="BK94" s="334">
        <f t="shared" si="415"/>
        <v>-2.099366627200161E-2</v>
      </c>
      <c r="BL94" s="334">
        <f t="shared" si="415"/>
        <v>8.4295012458410978E-2</v>
      </c>
      <c r="BM94" s="334">
        <f t="shared" si="415"/>
        <v>0.11881879092005398</v>
      </c>
      <c r="BN94" s="334">
        <f t="shared" si="415"/>
        <v>1.4700255824181996E-2</v>
      </c>
      <c r="BO94" s="334">
        <f t="shared" si="415"/>
        <v>1.5998274054870532E-2</v>
      </c>
      <c r="BP94" s="334">
        <f t="shared" si="415"/>
        <v>0.10722084212327498</v>
      </c>
      <c r="BQ94" s="334">
        <f t="shared" si="415"/>
        <v>-3.5428314458443078E-2</v>
      </c>
      <c r="BR94" s="334">
        <f t="shared" si="415"/>
        <v>2.9617277954312238E-2</v>
      </c>
      <c r="BS94" s="334">
        <f t="shared" si="415"/>
        <v>6.8192228661869247E-2</v>
      </c>
      <c r="BT94" s="333">
        <f t="shared" ca="1" si="415"/>
        <v>4.8065851960739092E-3</v>
      </c>
      <c r="BU94" s="333">
        <f t="shared" ca="1" si="415"/>
        <v>1.8303828526906818E-2</v>
      </c>
      <c r="BV94" s="333">
        <f t="shared" ca="1" si="415"/>
        <v>2.8614262518294131E-2</v>
      </c>
      <c r="BW94" s="333">
        <f t="shared" ca="1" si="415"/>
        <v>3.2739013311619436E-2</v>
      </c>
      <c r="BX94" s="333">
        <f t="shared" ca="1" si="415"/>
        <v>1.4731833420335905E-2</v>
      </c>
      <c r="BY94" s="333">
        <f t="shared" ca="1" si="415"/>
        <v>2.8454000189135797E-2</v>
      </c>
      <c r="BZ94" s="333">
        <f t="shared" ca="1" si="415"/>
        <v>2.2630842926397499E-2</v>
      </c>
      <c r="CA94" s="333">
        <f t="shared" ca="1" si="415"/>
        <v>3.5360098455544664E-2</v>
      </c>
      <c r="CB94" s="333">
        <f t="shared" ca="1" si="415"/>
        <v>1.8541371054776157E-2</v>
      </c>
      <c r="CC94" s="333">
        <f t="shared" ca="1" si="415"/>
        <v>3.7152729177545085E-2</v>
      </c>
      <c r="CD94" s="333">
        <f t="shared" ca="1" si="415"/>
        <v>2.6028369719479416E-2</v>
      </c>
      <c r="CE94" s="333">
        <f t="shared" ca="1" si="415"/>
        <v>3.4869317325135096E-2</v>
      </c>
      <c r="CF94" s="333">
        <f t="shared" ca="1" si="415"/>
        <v>1.9049805485914506E-2</v>
      </c>
      <c r="CG94" s="333">
        <f t="shared" ca="1" si="415"/>
        <v>2.6860037002335746E-2</v>
      </c>
      <c r="CH94" s="333">
        <f t="shared" ca="1" si="415"/>
        <v>2.3919400875509922E-2</v>
      </c>
      <c r="CI94" s="333">
        <f t="shared" ca="1" si="415"/>
        <v>3.0528599836764148E-2</v>
      </c>
      <c r="CJ94" s="333">
        <f t="shared" ref="CJ94" ca="1" si="416">+CJ93/CI93-1</f>
        <v>2.6736386708904325E-2</v>
      </c>
      <c r="CK94" s="333">
        <f t="shared" ref="CK94" ca="1" si="417">+CK93/CJ93-1</f>
        <v>3.2853249086417735E-2</v>
      </c>
      <c r="CL94" s="333">
        <f t="shared" ref="CL94" ca="1" si="418">+CL93/CK93-1</f>
        <v>2.690272220237544E-2</v>
      </c>
      <c r="CM94" s="333">
        <f t="shared" ref="CM94" ca="1" si="419">+CM93/CL93-1</f>
        <v>3.1110707909485447E-2</v>
      </c>
      <c r="CN94" s="333">
        <f t="shared" ref="CN94" ca="1" si="420">+CN93/CM93-1</f>
        <v>2.5139092520149564E-2</v>
      </c>
      <c r="CO94" s="333">
        <f t="shared" ref="CO94" ca="1" si="421">+CO93/CN93-1</f>
        <v>3.3210841238800137E-2</v>
      </c>
      <c r="CP94" s="333">
        <f t="shared" ref="CP94" ca="1" si="422">+CP93/CO93-1</f>
        <v>2.7300448496645702E-2</v>
      </c>
      <c r="CQ94" s="333">
        <f t="shared" ref="CQ94" ca="1" si="423">+CQ93/CP93-1</f>
        <v>3.1328031069462137E-2</v>
      </c>
    </row>
    <row r="95" spans="1:95" s="325" customFormat="1" ht="11.25" hidden="1" customHeight="1">
      <c r="A95" s="329"/>
      <c r="P95" s="326"/>
      <c r="Q95" s="326"/>
      <c r="R95" s="326"/>
      <c r="S95" s="326"/>
      <c r="T95" s="326"/>
      <c r="U95" s="326"/>
      <c r="V95" s="323"/>
      <c r="W95" s="329"/>
      <c r="X95" s="329"/>
      <c r="Y95" s="329"/>
      <c r="Z95" s="329"/>
      <c r="AA95" s="329"/>
      <c r="AB95" s="329"/>
      <c r="AC95" s="329"/>
      <c r="AD95" s="329"/>
      <c r="AE95" s="329"/>
      <c r="AF95" s="329"/>
      <c r="AG95" s="329"/>
      <c r="AH95" s="329"/>
      <c r="AI95" s="329"/>
      <c r="AJ95" s="329"/>
      <c r="AK95" s="329"/>
      <c r="AL95" s="329"/>
      <c r="AM95" s="329"/>
      <c r="AN95" s="329"/>
      <c r="AO95" s="329"/>
      <c r="AP95" s="329"/>
      <c r="AQ95" s="329"/>
      <c r="AR95" s="329"/>
      <c r="AS95" s="329"/>
      <c r="AT95" s="329"/>
      <c r="AU95" s="329"/>
      <c r="AV95" s="329"/>
      <c r="AW95" s="329"/>
      <c r="AX95" s="329"/>
      <c r="AY95" s="329"/>
      <c r="AZ95" s="329"/>
      <c r="BA95" s="329"/>
      <c r="BB95" s="329"/>
      <c r="BC95" s="329"/>
      <c r="BD95" s="329"/>
      <c r="BE95" s="329"/>
      <c r="BF95" s="329"/>
      <c r="BG95" s="349"/>
      <c r="BH95" s="329"/>
      <c r="BI95" s="329"/>
      <c r="BJ95" s="329"/>
      <c r="BK95" s="329"/>
      <c r="BL95" s="329"/>
      <c r="BM95" s="329"/>
      <c r="BN95" s="329"/>
      <c r="BO95" s="329"/>
      <c r="BP95" s="329"/>
      <c r="BQ95" s="329"/>
      <c r="BR95" s="329"/>
      <c r="BS95" s="329"/>
      <c r="BT95" s="348"/>
      <c r="BU95" s="348"/>
      <c r="BV95" s="348"/>
      <c r="BW95" s="348"/>
      <c r="BX95" s="348"/>
      <c r="BY95" s="348"/>
      <c r="BZ95" s="348"/>
      <c r="CA95" s="348"/>
      <c r="CB95" s="348"/>
      <c r="CC95" s="348"/>
      <c r="CD95" s="348"/>
      <c r="CE95" s="348"/>
      <c r="CF95" s="348"/>
      <c r="CG95" s="348"/>
      <c r="CH95" s="348"/>
      <c r="CI95" s="348"/>
      <c r="CJ95" s="348"/>
      <c r="CK95" s="348"/>
      <c r="CL95" s="348"/>
      <c r="CM95" s="348"/>
      <c r="CN95" s="348"/>
      <c r="CO95" s="348"/>
      <c r="CP95" s="348"/>
      <c r="CQ95" s="348"/>
    </row>
    <row r="96" spans="1:95" s="325" customFormat="1" ht="11.25" customHeight="1">
      <c r="A96" s="354" t="s">
        <v>317</v>
      </c>
      <c r="B96" s="299">
        <f t="shared" ref="B96:S96" si="424">+B82</f>
        <v>2002</v>
      </c>
      <c r="C96" s="299">
        <f t="shared" si="424"/>
        <v>2003</v>
      </c>
      <c r="D96" s="299">
        <f t="shared" si="424"/>
        <v>2004</v>
      </c>
      <c r="E96" s="299">
        <f t="shared" si="424"/>
        <v>2005</v>
      </c>
      <c r="F96" s="299">
        <f t="shared" si="424"/>
        <v>2006</v>
      </c>
      <c r="G96" s="299">
        <f t="shared" si="424"/>
        <v>2007</v>
      </c>
      <c r="H96" s="299">
        <f t="shared" si="424"/>
        <v>2008</v>
      </c>
      <c r="I96" s="299">
        <f t="shared" si="424"/>
        <v>2009</v>
      </c>
      <c r="J96" s="299">
        <f t="shared" si="424"/>
        <v>2010</v>
      </c>
      <c r="K96" s="299">
        <f t="shared" si="424"/>
        <v>2011</v>
      </c>
      <c r="L96" s="299">
        <f t="shared" si="424"/>
        <v>2012</v>
      </c>
      <c r="M96" s="299">
        <f t="shared" si="424"/>
        <v>2013</v>
      </c>
      <c r="N96" s="299">
        <f t="shared" si="424"/>
        <v>2014</v>
      </c>
      <c r="O96" s="299">
        <f t="shared" si="424"/>
        <v>2015</v>
      </c>
      <c r="P96" s="181" t="str">
        <f t="shared" si="424"/>
        <v>2016E</v>
      </c>
      <c r="Q96" s="181" t="str">
        <f t="shared" si="424"/>
        <v>2017E</v>
      </c>
      <c r="R96" s="181" t="str">
        <f t="shared" si="424"/>
        <v>2018E</v>
      </c>
      <c r="S96" s="181" t="str">
        <f t="shared" si="424"/>
        <v>2019E</v>
      </c>
      <c r="T96" s="181" t="str">
        <f t="shared" ref="T96:U96" si="425">+T82</f>
        <v>2020E</v>
      </c>
      <c r="U96" s="181" t="str">
        <f t="shared" si="425"/>
        <v>2021E</v>
      </c>
      <c r="V96" s="323"/>
      <c r="W96" s="354" t="s">
        <v>317</v>
      </c>
      <c r="X96" s="352"/>
      <c r="Y96" s="352" t="str">
        <f t="shared" ref="Y96:BD96" si="426">+Y82</f>
        <v>2Q04</v>
      </c>
      <c r="Z96" s="352" t="str">
        <f t="shared" si="426"/>
        <v>3Q04</v>
      </c>
      <c r="AA96" s="352" t="str">
        <f t="shared" si="426"/>
        <v>4Q04</v>
      </c>
      <c r="AB96" s="352" t="str">
        <f t="shared" si="426"/>
        <v>1Q05</v>
      </c>
      <c r="AC96" s="352" t="str">
        <f t="shared" si="426"/>
        <v>2Q05</v>
      </c>
      <c r="AD96" s="352" t="str">
        <f t="shared" si="426"/>
        <v>3Q05</v>
      </c>
      <c r="AE96" s="352" t="str">
        <f t="shared" si="426"/>
        <v>4Q05</v>
      </c>
      <c r="AF96" s="352" t="str">
        <f t="shared" si="426"/>
        <v>1Q06</v>
      </c>
      <c r="AG96" s="352" t="str">
        <f t="shared" si="426"/>
        <v>2Q06</v>
      </c>
      <c r="AH96" s="352" t="str">
        <f t="shared" si="426"/>
        <v>3Q06</v>
      </c>
      <c r="AI96" s="352" t="str">
        <f t="shared" si="426"/>
        <v>4Q06</v>
      </c>
      <c r="AJ96" s="352" t="str">
        <f t="shared" si="426"/>
        <v>1Q07</v>
      </c>
      <c r="AK96" s="352" t="str">
        <f t="shared" si="426"/>
        <v>2Q07</v>
      </c>
      <c r="AL96" s="352" t="str">
        <f t="shared" si="426"/>
        <v>3Q07</v>
      </c>
      <c r="AM96" s="352" t="str">
        <f t="shared" si="426"/>
        <v>4Q07</v>
      </c>
      <c r="AN96" s="352" t="str">
        <f t="shared" si="426"/>
        <v>1Q08</v>
      </c>
      <c r="AO96" s="352" t="str">
        <f t="shared" si="426"/>
        <v>2Q08</v>
      </c>
      <c r="AP96" s="352" t="str">
        <f t="shared" si="426"/>
        <v>3Q08</v>
      </c>
      <c r="AQ96" s="352" t="str">
        <f t="shared" si="426"/>
        <v>4Q08</v>
      </c>
      <c r="AR96" s="352" t="str">
        <f t="shared" si="426"/>
        <v>1Q09</v>
      </c>
      <c r="AS96" s="352" t="str">
        <f t="shared" si="426"/>
        <v>2Q09</v>
      </c>
      <c r="AT96" s="352" t="str">
        <f t="shared" si="426"/>
        <v>3Q09</v>
      </c>
      <c r="AU96" s="352" t="str">
        <f t="shared" si="426"/>
        <v>4Q09</v>
      </c>
      <c r="AV96" s="352" t="str">
        <f t="shared" si="426"/>
        <v>1Q10</v>
      </c>
      <c r="AW96" s="352" t="str">
        <f t="shared" si="426"/>
        <v>2Q10</v>
      </c>
      <c r="AX96" s="352" t="str">
        <f t="shared" si="426"/>
        <v>3Q10</v>
      </c>
      <c r="AY96" s="352" t="str">
        <f t="shared" si="426"/>
        <v>4Q10</v>
      </c>
      <c r="AZ96" s="352" t="str">
        <f t="shared" si="426"/>
        <v>1Q11</v>
      </c>
      <c r="BA96" s="352" t="str">
        <f t="shared" si="426"/>
        <v>2Q11</v>
      </c>
      <c r="BB96" s="352" t="str">
        <f t="shared" si="426"/>
        <v>3Q11</v>
      </c>
      <c r="BC96" s="352" t="str">
        <f t="shared" si="426"/>
        <v>4Q11</v>
      </c>
      <c r="BD96" s="352" t="str">
        <f t="shared" si="426"/>
        <v>1Q12</v>
      </c>
      <c r="BE96" s="352" t="str">
        <f t="shared" ref="BE96:CI96" si="427">+BE82</f>
        <v>2Q12</v>
      </c>
      <c r="BF96" s="352" t="str">
        <f t="shared" si="427"/>
        <v>3Q12</v>
      </c>
      <c r="BG96" s="353" t="str">
        <f t="shared" si="427"/>
        <v>4Q12</v>
      </c>
      <c r="BH96" s="352" t="str">
        <f t="shared" si="427"/>
        <v>1Q13</v>
      </c>
      <c r="BI96" s="352" t="str">
        <f t="shared" ref="BI96" si="428">+BI82</f>
        <v>2Q13</v>
      </c>
      <c r="BJ96" s="352" t="str">
        <f t="shared" si="427"/>
        <v>3Q13</v>
      </c>
      <c r="BK96" s="352" t="str">
        <f t="shared" si="427"/>
        <v>4Q13</v>
      </c>
      <c r="BL96" s="352" t="str">
        <f t="shared" ref="BL96" si="429">+BL82</f>
        <v>1Q14</v>
      </c>
      <c r="BM96" s="352" t="str">
        <f t="shared" si="427"/>
        <v>2Q14</v>
      </c>
      <c r="BN96" s="352" t="str">
        <f t="shared" ref="BN96:BO96" si="430">+BN82</f>
        <v>3Q14</v>
      </c>
      <c r="BO96" s="352" t="str">
        <f t="shared" si="430"/>
        <v>4Q14</v>
      </c>
      <c r="BP96" s="352" t="str">
        <f t="shared" si="427"/>
        <v>1Q15</v>
      </c>
      <c r="BQ96" s="352" t="str">
        <f t="shared" si="427"/>
        <v>2Q15</v>
      </c>
      <c r="BR96" s="352" t="str">
        <f t="shared" ref="BR96:BS96" si="431">+BR82</f>
        <v>3Q15</v>
      </c>
      <c r="BS96" s="352" t="str">
        <f t="shared" si="431"/>
        <v>4Q15</v>
      </c>
      <c r="BT96" s="181" t="str">
        <f t="shared" si="427"/>
        <v>1Q16E</v>
      </c>
      <c r="BU96" s="181" t="str">
        <f t="shared" si="427"/>
        <v>2Q16E</v>
      </c>
      <c r="BV96" s="181" t="str">
        <f t="shared" si="427"/>
        <v>3Q16E</v>
      </c>
      <c r="BW96" s="181" t="str">
        <f t="shared" si="427"/>
        <v>4Q16E</v>
      </c>
      <c r="BX96" s="181" t="str">
        <f t="shared" si="427"/>
        <v>1Q17E</v>
      </c>
      <c r="BY96" s="181" t="str">
        <f t="shared" si="427"/>
        <v>2Q17E</v>
      </c>
      <c r="BZ96" s="181" t="str">
        <f t="shared" si="427"/>
        <v>3Q17E</v>
      </c>
      <c r="CA96" s="181" t="str">
        <f t="shared" si="427"/>
        <v>4Q17E</v>
      </c>
      <c r="CB96" s="181" t="str">
        <f t="shared" si="427"/>
        <v>1Q18E</v>
      </c>
      <c r="CC96" s="181" t="str">
        <f t="shared" si="427"/>
        <v>2Q18E</v>
      </c>
      <c r="CD96" s="181" t="str">
        <f t="shared" si="427"/>
        <v>3Q18E</v>
      </c>
      <c r="CE96" s="181" t="str">
        <f t="shared" si="427"/>
        <v>4Q18E</v>
      </c>
      <c r="CF96" s="181" t="str">
        <f t="shared" si="427"/>
        <v>1Q19E</v>
      </c>
      <c r="CG96" s="181" t="str">
        <f t="shared" si="427"/>
        <v>2Q19E</v>
      </c>
      <c r="CH96" s="181" t="str">
        <f t="shared" si="427"/>
        <v>3Q19E</v>
      </c>
      <c r="CI96" s="181" t="str">
        <f t="shared" si="427"/>
        <v>4Q19E</v>
      </c>
      <c r="CJ96" s="181" t="str">
        <f t="shared" ref="CJ96:CM96" si="432">+CJ82</f>
        <v>1Q20E</v>
      </c>
      <c r="CK96" s="181" t="str">
        <f t="shared" si="432"/>
        <v>2Q20E</v>
      </c>
      <c r="CL96" s="181" t="str">
        <f t="shared" si="432"/>
        <v>3Q20E</v>
      </c>
      <c r="CM96" s="181" t="str">
        <f t="shared" si="432"/>
        <v>4Q20E</v>
      </c>
      <c r="CN96" s="181" t="str">
        <f t="shared" ref="CN96:CQ96" si="433">+CN82</f>
        <v>1Q21E</v>
      </c>
      <c r="CO96" s="181" t="str">
        <f t="shared" si="433"/>
        <v>2Q21E</v>
      </c>
      <c r="CP96" s="181" t="str">
        <f t="shared" si="433"/>
        <v>3Q21E</v>
      </c>
      <c r="CQ96" s="181" t="str">
        <f t="shared" si="433"/>
        <v>4Q21E</v>
      </c>
    </row>
    <row r="97" spans="1:95" s="325" customFormat="1" ht="11.25" customHeight="1">
      <c r="A97" s="329" t="s">
        <v>316</v>
      </c>
      <c r="B97" s="367"/>
      <c r="C97" s="363">
        <f>(+'Balance Sheet'!H31)/1000</f>
        <v>0</v>
      </c>
      <c r="D97" s="363">
        <f>(+'Balance Sheet'!I31)/1000</f>
        <v>0</v>
      </c>
      <c r="E97" s="363">
        <f>(+'Balance Sheet'!J31)/1000</f>
        <v>0</v>
      </c>
      <c r="F97" s="363">
        <f>(+'Balance Sheet'!K31)/1000</f>
        <v>0</v>
      </c>
      <c r="G97" s="363">
        <f>(+'Balance Sheet'!L31)/1000</f>
        <v>0</v>
      </c>
      <c r="H97" s="363">
        <f>(+'Balance Sheet'!M31)/1000</f>
        <v>0</v>
      </c>
      <c r="I97" s="363">
        <f>(+'Balance Sheet'!N31)/1000</f>
        <v>64002.98986749773</v>
      </c>
      <c r="J97" s="363">
        <f>(+'Balance Sheet'!O31)/1000</f>
        <v>79920.191254091042</v>
      </c>
      <c r="K97" s="363">
        <f>(+'Balance Sheet'!P31)/1000</f>
        <v>83350.090280237768</v>
      </c>
      <c r="L97" s="363">
        <f>(+'Balance Sheet'!Q31)/1000</f>
        <v>104923.91194455707</v>
      </c>
      <c r="M97" s="363">
        <f>(+'Balance Sheet'!R31)/1000</f>
        <v>114543.46570280709</v>
      </c>
      <c r="N97" s="363">
        <f>(+'Balance Sheet'!S31)/1000</f>
        <v>135451.41200000001</v>
      </c>
      <c r="O97" s="363">
        <f>(+'Balance Sheet'!T31)/1000</f>
        <v>155701.71900000001</v>
      </c>
      <c r="P97" s="362">
        <f>(+'Balance Sheet'!U31)/1000</f>
        <v>172678.75837389895</v>
      </c>
      <c r="Q97" s="362">
        <f>(+'Balance Sheet'!V31)/1000</f>
        <v>188902.94706381118</v>
      </c>
      <c r="R97" s="362">
        <f>(+'Balance Sheet'!W31)/1000</f>
        <v>205993.95302063489</v>
      </c>
      <c r="S97" s="362">
        <f>(+'Balance Sheet'!X31)/1000</f>
        <v>225184.42694785722</v>
      </c>
      <c r="T97" s="362">
        <f>(+'Balance Sheet'!Y31)/1000</f>
        <v>247560.83317758908</v>
      </c>
      <c r="U97" s="362">
        <f>(+'Balance Sheet'!Z31)/1000</f>
        <v>273578.42336411308</v>
      </c>
      <c r="V97" s="323"/>
      <c r="W97" s="329" t="s">
        <v>316</v>
      </c>
      <c r="X97" s="358">
        <f>(+'Balance Sheet'!BE31)/1000</f>
        <v>0</v>
      </c>
      <c r="Y97" s="358">
        <f>(+'Balance Sheet'!BF31)/1000</f>
        <v>0</v>
      </c>
      <c r="Z97" s="358">
        <f>(+'Balance Sheet'!BG31)/1000</f>
        <v>0</v>
      </c>
      <c r="AA97" s="358">
        <f>(+'Balance Sheet'!BH31)/1000</f>
        <v>0</v>
      </c>
      <c r="AB97" s="358">
        <f>(+'Balance Sheet'!BI31)/1000</f>
        <v>0</v>
      </c>
      <c r="AC97" s="358">
        <f>(+'Balance Sheet'!BJ31)/1000</f>
        <v>0</v>
      </c>
      <c r="AD97" s="358">
        <f>(+'Balance Sheet'!BK31)/1000</f>
        <v>0</v>
      </c>
      <c r="AE97" s="358">
        <f>(+'Balance Sheet'!BL31)/1000</f>
        <v>0</v>
      </c>
      <c r="AF97" s="358">
        <f>(+'Balance Sheet'!BM31)/1000</f>
        <v>0</v>
      </c>
      <c r="AG97" s="358">
        <f>(+'Balance Sheet'!BN31)/1000</f>
        <v>0</v>
      </c>
      <c r="AH97" s="358">
        <f>(+'Balance Sheet'!BO31)/1000</f>
        <v>0</v>
      </c>
      <c r="AI97" s="358">
        <f>(+'Balance Sheet'!BP31)/1000</f>
        <v>0</v>
      </c>
      <c r="AJ97" s="358">
        <f>(+'Balance Sheet'!BQ31)/1000</f>
        <v>0</v>
      </c>
      <c r="AK97" s="358">
        <f>(+'Balance Sheet'!BR31)/1000</f>
        <v>0</v>
      </c>
      <c r="AL97" s="358">
        <f>(+'Balance Sheet'!BS31)/1000</f>
        <v>0</v>
      </c>
      <c r="AM97" s="358">
        <f>(+'Balance Sheet'!BT31)/1000</f>
        <v>0</v>
      </c>
      <c r="AN97" s="358">
        <f>(+'Balance Sheet'!BU31)/1000</f>
        <v>0</v>
      </c>
      <c r="AO97" s="358">
        <f>(+'Balance Sheet'!BV31)/1000</f>
        <v>0</v>
      </c>
      <c r="AP97" s="358">
        <f>(+'Balance Sheet'!BW31)/1000</f>
        <v>0</v>
      </c>
      <c r="AQ97" s="358">
        <f>(+'Balance Sheet'!BX31)/1000</f>
        <v>0</v>
      </c>
      <c r="AR97" s="358">
        <f>(+'Balance Sheet'!BY31)/1000</f>
        <v>66608.781699955041</v>
      </c>
      <c r="AS97" s="358">
        <f>(+'Balance Sheet'!BZ31)/1000</f>
        <v>62905.539692381404</v>
      </c>
      <c r="AT97" s="358">
        <f>(+'Balance Sheet'!CA31)/1000</f>
        <v>59907.770441963068</v>
      </c>
      <c r="AU97" s="358">
        <f>(+'Balance Sheet'!CB31)/1000</f>
        <v>64002.98986749773</v>
      </c>
      <c r="AV97" s="358">
        <f>(+'Balance Sheet'!CC31)/1000</f>
        <v>66710.86164420248</v>
      </c>
      <c r="AW97" s="358">
        <f>(+'Balance Sheet'!CD31)/1000</f>
        <v>67342.204400123432</v>
      </c>
      <c r="AX97" s="358">
        <f>(+'Balance Sheet'!CE31)/1000</f>
        <v>74134.401875353884</v>
      </c>
      <c r="AY97" s="358">
        <f>(+'Balance Sheet'!CF31)/1000</f>
        <v>79920.191254091042</v>
      </c>
      <c r="AZ97" s="358">
        <f>(+'Balance Sheet'!CG31)/1000</f>
        <v>82256.957673417361</v>
      </c>
      <c r="BA97" s="358">
        <f>(+'Balance Sheet'!CH31)/1000</f>
        <v>81530.61471495303</v>
      </c>
      <c r="BB97" s="358">
        <f>(+'Balance Sheet'!CI31)/1000</f>
        <v>82236.691230406039</v>
      </c>
      <c r="BC97" s="358">
        <f>(+'Balance Sheet'!CJ31)/1000</f>
        <v>83350.090280237768</v>
      </c>
      <c r="BD97" s="358">
        <f>(+'Balance Sheet'!CK31)/1000</f>
        <v>91107.449748554223</v>
      </c>
      <c r="BE97" s="358">
        <f>(+'Balance Sheet'!CL31)/1000</f>
        <v>93694.115519579515</v>
      </c>
      <c r="BF97" s="358">
        <f>(+'Balance Sheet'!CM31)/1000</f>
        <v>97946.595147245898</v>
      </c>
      <c r="BG97" s="359">
        <f>(+'Balance Sheet'!CN31)/1000</f>
        <v>104923.91194455707</v>
      </c>
      <c r="BH97" s="358">
        <f>(+'Balance Sheet'!CO31)/1000</f>
        <v>110069.89100488841</v>
      </c>
      <c r="BI97" s="358">
        <f>(+'Balance Sheet'!CP31)/1000</f>
        <v>110860.43563400788</v>
      </c>
      <c r="BJ97" s="358">
        <f>(+'Balance Sheet'!CQ31)/1000</f>
        <v>111818.49681722937</v>
      </c>
      <c r="BK97" s="358">
        <f>(+'Balance Sheet'!CR31)/1000</f>
        <v>114543.46570280709</v>
      </c>
      <c r="BL97" s="358">
        <f>(+'Balance Sheet'!CS31)/1000</f>
        <v>124013.17600000001</v>
      </c>
      <c r="BM97" s="358">
        <f>(+'Balance Sheet'!CT31)/1000</f>
        <v>127141.41800000001</v>
      </c>
      <c r="BN97" s="358">
        <f>(+'Balance Sheet'!CU31)/1000</f>
        <v>132654.03099999999</v>
      </c>
      <c r="BO97" s="358">
        <f>(+'Balance Sheet'!CV31)/1000</f>
        <v>135451.41200000001</v>
      </c>
      <c r="BP97" s="358">
        <f>(+'Balance Sheet'!CW31)/1000</f>
        <v>140863.89199999999</v>
      </c>
      <c r="BQ97" s="358">
        <f>(+'Balance Sheet'!CX31)/1000</f>
        <v>143239.41399999999</v>
      </c>
      <c r="BR97" s="358">
        <f>(+'Balance Sheet'!CY31)/1000</f>
        <v>152802.68</v>
      </c>
      <c r="BS97" s="358">
        <f>(+'Balance Sheet'!CZ31)/1000</f>
        <v>155701.71900000001</v>
      </c>
      <c r="BT97" s="357">
        <f>(+'Balance Sheet'!DA31)/1000</f>
        <v>166394.0559467187</v>
      </c>
      <c r="BU97" s="357">
        <f>(+'Balance Sheet'!DB31)/1000</f>
        <v>165498.78543773032</v>
      </c>
      <c r="BV97" s="357">
        <f>(+'Balance Sheet'!DC31)/1000</f>
        <v>172851.02807468898</v>
      </c>
      <c r="BW97" s="357">
        <f>(+'Balance Sheet'!DD31)/1000</f>
        <v>172678.75837389895</v>
      </c>
      <c r="BX97" s="357">
        <f>(+'Balance Sheet'!DE31)/1000</f>
        <v>180119.01261574484</v>
      </c>
      <c r="BY97" s="357">
        <f>(+'Balance Sheet'!DF31)/1000</f>
        <v>180749.63745898899</v>
      </c>
      <c r="BZ97" s="357">
        <f>(+'Balance Sheet'!DG31)/1000</f>
        <v>188280.41303974655</v>
      </c>
      <c r="CA97" s="357">
        <f>(+'Balance Sheet'!DH31)/1000</f>
        <v>188902.94706381118</v>
      </c>
      <c r="CB97" s="357">
        <f>(+'Balance Sheet'!DI31)/1000</f>
        <v>196054.60329920609</v>
      </c>
      <c r="CC97" s="357">
        <f>(+'Balance Sheet'!DJ31)/1000</f>
        <v>197336.14956100271</v>
      </c>
      <c r="CD97" s="357">
        <f>(+'Balance Sheet'!DK31)/1000</f>
        <v>204606.30703799735</v>
      </c>
      <c r="CE97" s="357">
        <f>(+'Balance Sheet'!DL31)/1000</f>
        <v>205993.95302063489</v>
      </c>
      <c r="CF97" s="357">
        <f>(+'Balance Sheet'!DM31)/1000</f>
        <v>213137.18675873344</v>
      </c>
      <c r="CG97" s="357">
        <f>(+'Balance Sheet'!DN31)/1000</f>
        <v>215436.53856627241</v>
      </c>
      <c r="CH97" s="357">
        <f>(+'Balance Sheet'!DO31)/1000</f>
        <v>222660.84621732196</v>
      </c>
      <c r="CI97" s="357">
        <f>(+'Balance Sheet'!DP31)/1000</f>
        <v>225184.42694785722</v>
      </c>
      <c r="CJ97" s="357">
        <f>(+'Balance Sheet'!DQ31)/1000</f>
        <v>232250.61837817496</v>
      </c>
      <c r="CK97" s="357">
        <f>(+'Balance Sheet'!DR31)/1000</f>
        <v>235902.03816621529</v>
      </c>
      <c r="CL97" s="357">
        <f>(+'Balance Sheet'!DS31)/1000</f>
        <v>242920.31796623161</v>
      </c>
      <c r="CM97" s="357">
        <f>(+'Balance Sheet'!DT31)/1000</f>
        <v>247560.83317758908</v>
      </c>
      <c r="CN97" s="357">
        <f>(+'Balance Sheet'!DU31)/1000</f>
        <v>254118.12462635935</v>
      </c>
      <c r="CO97" s="357">
        <f>(+'Balance Sheet'!DV31)/1000</f>
        <v>260071.18955047283</v>
      </c>
      <c r="CP97" s="357">
        <f>(+'Balance Sheet'!DW31)/1000</f>
        <v>266595.36710314965</v>
      </c>
      <c r="CQ97" s="357">
        <f>(+'Balance Sheet'!DX31)/1000</f>
        <v>273578.42336411308</v>
      </c>
    </row>
    <row r="98" spans="1:95" s="325" customFormat="1" ht="11.25" customHeight="1">
      <c r="A98" s="336" t="s">
        <v>309</v>
      </c>
      <c r="B98" s="334"/>
      <c r="C98" s="334"/>
      <c r="D98" s="334" t="e">
        <f t="shared" ref="D98:U98" si="434">+D97/C97-1</f>
        <v>#DIV/0!</v>
      </c>
      <c r="E98" s="334" t="e">
        <f t="shared" si="434"/>
        <v>#DIV/0!</v>
      </c>
      <c r="F98" s="334" t="e">
        <f t="shared" si="434"/>
        <v>#DIV/0!</v>
      </c>
      <c r="G98" s="334" t="e">
        <f t="shared" si="434"/>
        <v>#DIV/0!</v>
      </c>
      <c r="H98" s="334" t="e">
        <f t="shared" si="434"/>
        <v>#DIV/0!</v>
      </c>
      <c r="I98" s="334" t="e">
        <f t="shared" si="434"/>
        <v>#DIV/0!</v>
      </c>
      <c r="J98" s="334">
        <f t="shared" si="434"/>
        <v>0.24869465347706288</v>
      </c>
      <c r="K98" s="334">
        <f t="shared" si="434"/>
        <v>4.291655177903686E-2</v>
      </c>
      <c r="L98" s="334">
        <f t="shared" si="434"/>
        <v>0.25883381279833406</v>
      </c>
      <c r="M98" s="334">
        <f t="shared" si="434"/>
        <v>9.1681234334201278E-2</v>
      </c>
      <c r="N98" s="334">
        <f t="shared" si="434"/>
        <v>0.18253285919810036</v>
      </c>
      <c r="O98" s="334">
        <f t="shared" si="434"/>
        <v>0.14950236915950343</v>
      </c>
      <c r="P98" s="333">
        <f t="shared" si="434"/>
        <v>0.10903565794221537</v>
      </c>
      <c r="Q98" s="333">
        <f t="shared" si="434"/>
        <v>9.3955903104087746E-2</v>
      </c>
      <c r="R98" s="333">
        <f t="shared" si="434"/>
        <v>9.0475062578300403E-2</v>
      </c>
      <c r="S98" s="333">
        <f t="shared" si="434"/>
        <v>9.3160375078097379E-2</v>
      </c>
      <c r="T98" s="333">
        <f t="shared" si="434"/>
        <v>9.9369243837244881E-2</v>
      </c>
      <c r="U98" s="333">
        <f t="shared" si="434"/>
        <v>0.10509574496325969</v>
      </c>
      <c r="V98" s="323"/>
      <c r="W98" s="336" t="s">
        <v>309</v>
      </c>
      <c r="X98" s="334">
        <v>0</v>
      </c>
      <c r="Y98" s="334" t="e">
        <f t="shared" ref="Y98:BD98" si="435">+Y97/X97-1</f>
        <v>#DIV/0!</v>
      </c>
      <c r="Z98" s="334" t="e">
        <f t="shared" si="435"/>
        <v>#DIV/0!</v>
      </c>
      <c r="AA98" s="334" t="e">
        <f t="shared" si="435"/>
        <v>#DIV/0!</v>
      </c>
      <c r="AB98" s="334" t="e">
        <f t="shared" si="435"/>
        <v>#DIV/0!</v>
      </c>
      <c r="AC98" s="334" t="e">
        <f t="shared" si="435"/>
        <v>#DIV/0!</v>
      </c>
      <c r="AD98" s="334" t="e">
        <f t="shared" si="435"/>
        <v>#DIV/0!</v>
      </c>
      <c r="AE98" s="334" t="e">
        <f t="shared" si="435"/>
        <v>#DIV/0!</v>
      </c>
      <c r="AF98" s="334" t="e">
        <f t="shared" si="435"/>
        <v>#DIV/0!</v>
      </c>
      <c r="AG98" s="334" t="e">
        <f t="shared" si="435"/>
        <v>#DIV/0!</v>
      </c>
      <c r="AH98" s="334" t="e">
        <f t="shared" si="435"/>
        <v>#DIV/0!</v>
      </c>
      <c r="AI98" s="334" t="e">
        <f t="shared" si="435"/>
        <v>#DIV/0!</v>
      </c>
      <c r="AJ98" s="334" t="e">
        <f t="shared" si="435"/>
        <v>#DIV/0!</v>
      </c>
      <c r="AK98" s="334" t="e">
        <f t="shared" si="435"/>
        <v>#DIV/0!</v>
      </c>
      <c r="AL98" s="334" t="e">
        <f t="shared" si="435"/>
        <v>#DIV/0!</v>
      </c>
      <c r="AM98" s="334" t="e">
        <f t="shared" si="435"/>
        <v>#DIV/0!</v>
      </c>
      <c r="AN98" s="334" t="e">
        <f t="shared" si="435"/>
        <v>#DIV/0!</v>
      </c>
      <c r="AO98" s="334" t="e">
        <f t="shared" si="435"/>
        <v>#DIV/0!</v>
      </c>
      <c r="AP98" s="334" t="e">
        <f t="shared" si="435"/>
        <v>#DIV/0!</v>
      </c>
      <c r="AQ98" s="334" t="e">
        <f t="shared" si="435"/>
        <v>#DIV/0!</v>
      </c>
      <c r="AR98" s="334" t="e">
        <f t="shared" si="435"/>
        <v>#DIV/0!</v>
      </c>
      <c r="AS98" s="334">
        <f t="shared" si="435"/>
        <v>-5.5596903487219018E-2</v>
      </c>
      <c r="AT98" s="334">
        <f t="shared" si="435"/>
        <v>-4.765509150828251E-2</v>
      </c>
      <c r="AU98" s="334">
        <f t="shared" si="435"/>
        <v>6.8358735358078349E-2</v>
      </c>
      <c r="AV98" s="334">
        <f t="shared" si="435"/>
        <v>4.2308519997436456E-2</v>
      </c>
      <c r="AW98" s="334">
        <f t="shared" si="435"/>
        <v>9.4638675076357259E-3</v>
      </c>
      <c r="AX98" s="334">
        <f t="shared" si="435"/>
        <v>0.10086093165102872</v>
      </c>
      <c r="AY98" s="334">
        <f t="shared" si="435"/>
        <v>7.8044595118810234E-2</v>
      </c>
      <c r="AZ98" s="334">
        <f t="shared" si="435"/>
        <v>2.9238749090289451E-2</v>
      </c>
      <c r="BA98" s="334">
        <f t="shared" si="435"/>
        <v>-8.8301704683524385E-3</v>
      </c>
      <c r="BB98" s="334">
        <f t="shared" si="435"/>
        <v>8.6602623802309875E-3</v>
      </c>
      <c r="BC98" s="334">
        <f t="shared" si="435"/>
        <v>1.3538957285042841E-2</v>
      </c>
      <c r="BD98" s="334">
        <f t="shared" si="435"/>
        <v>9.3069598871876824E-2</v>
      </c>
      <c r="BE98" s="334">
        <f t="shared" ref="BE98:CI98" si="436">+BE97/BD97-1</f>
        <v>2.8391374999126695E-2</v>
      </c>
      <c r="BF98" s="334">
        <f t="shared" si="436"/>
        <v>4.5386837840181382E-2</v>
      </c>
      <c r="BG98" s="335">
        <f t="shared" si="436"/>
        <v>7.1235930016984916E-2</v>
      </c>
      <c r="BH98" s="334">
        <f t="shared" si="436"/>
        <v>4.9044864654403497E-2</v>
      </c>
      <c r="BI98" s="334">
        <f t="shared" si="436"/>
        <v>7.1822059775126235E-3</v>
      </c>
      <c r="BJ98" s="334">
        <f t="shared" si="436"/>
        <v>8.6420477940787332E-3</v>
      </c>
      <c r="BK98" s="334">
        <f t="shared" si="436"/>
        <v>2.4369571789466749E-2</v>
      </c>
      <c r="BL98" s="334">
        <f t="shared" si="436"/>
        <v>8.267350947598251E-2</v>
      </c>
      <c r="BM98" s="334">
        <f t="shared" si="436"/>
        <v>2.5225077696582776E-2</v>
      </c>
      <c r="BN98" s="334">
        <f t="shared" si="436"/>
        <v>4.3358121112035963E-2</v>
      </c>
      <c r="BO98" s="334">
        <f t="shared" si="436"/>
        <v>2.1087794912165281E-2</v>
      </c>
      <c r="BP98" s="334">
        <f t="shared" si="436"/>
        <v>3.9958830403332923E-2</v>
      </c>
      <c r="BQ98" s="334">
        <f t="shared" si="436"/>
        <v>1.6863952616047229E-2</v>
      </c>
      <c r="BR98" s="334">
        <f t="shared" si="436"/>
        <v>6.6764207789903551E-2</v>
      </c>
      <c r="BS98" s="334">
        <f t="shared" si="436"/>
        <v>1.8972435561994239E-2</v>
      </c>
      <c r="BT98" s="333">
        <f t="shared" si="436"/>
        <v>6.8671926137942485E-2</v>
      </c>
      <c r="BU98" s="333">
        <f t="shared" si="436"/>
        <v>-5.380423620871766E-3</v>
      </c>
      <c r="BV98" s="333">
        <f t="shared" si="436"/>
        <v>4.4424752831343062E-2</v>
      </c>
      <c r="BW98" s="333">
        <f t="shared" si="436"/>
        <v>-9.9663683062145569E-4</v>
      </c>
      <c r="BX98" s="333">
        <f t="shared" si="436"/>
        <v>4.3087258166031095E-2</v>
      </c>
      <c r="BY98" s="333">
        <f t="shared" si="436"/>
        <v>3.5011564525366801E-3</v>
      </c>
      <c r="BZ98" s="333">
        <f t="shared" si="436"/>
        <v>4.1664125508778627E-2</v>
      </c>
      <c r="CA98" s="333">
        <f t="shared" si="436"/>
        <v>3.3064194730294538E-3</v>
      </c>
      <c r="CB98" s="333">
        <f t="shared" si="436"/>
        <v>3.785889180955504E-2</v>
      </c>
      <c r="CC98" s="333">
        <f t="shared" si="436"/>
        <v>6.5366802932997903E-3</v>
      </c>
      <c r="CD98" s="333">
        <f t="shared" si="436"/>
        <v>3.6841488461024197E-2</v>
      </c>
      <c r="CE98" s="333">
        <f t="shared" si="436"/>
        <v>6.7820293652034458E-3</v>
      </c>
      <c r="CF98" s="333">
        <f t="shared" si="436"/>
        <v>3.4676909847848769E-2</v>
      </c>
      <c r="CG98" s="333">
        <f t="shared" si="436"/>
        <v>1.0788130605016377E-2</v>
      </c>
      <c r="CH98" s="333">
        <f t="shared" si="436"/>
        <v>3.3533344432319812E-2</v>
      </c>
      <c r="CI98" s="333">
        <f t="shared" si="436"/>
        <v>1.1333742655734724E-2</v>
      </c>
      <c r="CJ98" s="333">
        <f t="shared" ref="CJ98" si="437">+CJ97/CI97-1</f>
        <v>3.137957418322701E-2</v>
      </c>
      <c r="CK98" s="333">
        <f t="shared" ref="CK98" si="438">+CK97/CJ97-1</f>
        <v>1.5721894794246349E-2</v>
      </c>
      <c r="CL98" s="333">
        <f t="shared" ref="CL98" si="439">+CL97/CK97-1</f>
        <v>2.9750823072886234E-2</v>
      </c>
      <c r="CM98" s="333">
        <f t="shared" ref="CM98" si="440">+CM97/CL97-1</f>
        <v>1.9103034485582038E-2</v>
      </c>
      <c r="CN98" s="333">
        <f t="shared" ref="CN98" si="441">+CN97/CM97-1</f>
        <v>2.6487596461053808E-2</v>
      </c>
      <c r="CO98" s="333">
        <f t="shared" ref="CO98" si="442">+CO97/CN97-1</f>
        <v>2.3426368870250958E-2</v>
      </c>
      <c r="CP98" s="333">
        <f t="shared" ref="CP98" si="443">+CP97/CO97-1</f>
        <v>2.5086121857456511E-2</v>
      </c>
      <c r="CQ98" s="333">
        <f t="shared" ref="CQ98" si="444">+CQ97/CP97-1</f>
        <v>2.6193464413286627E-2</v>
      </c>
    </row>
    <row r="99" spans="1:95" s="325" customFormat="1" ht="11.25" customHeight="1">
      <c r="A99" s="329" t="s">
        <v>293</v>
      </c>
      <c r="B99" s="346"/>
      <c r="C99" s="346">
        <f>(+'Balance Sheet'!H19)/1000</f>
        <v>0</v>
      </c>
      <c r="D99" s="346">
        <f>(+'Balance Sheet'!I19)/1000</f>
        <v>0</v>
      </c>
      <c r="E99" s="346">
        <f>(+'Balance Sheet'!J19)/1000</f>
        <v>0</v>
      </c>
      <c r="F99" s="346">
        <f>(+'Balance Sheet'!K19)/1000</f>
        <v>0</v>
      </c>
      <c r="G99" s="346">
        <f>(+'Balance Sheet'!L19)/1000</f>
        <v>0</v>
      </c>
      <c r="H99" s="346">
        <f>(+'Balance Sheet'!M19)/1000</f>
        <v>0</v>
      </c>
      <c r="I99" s="346">
        <f>(+'Balance Sheet'!N19)/1000</f>
        <v>33509.313666521914</v>
      </c>
      <c r="J99" s="346">
        <f>(+'Balance Sheet'!O19)/1000</f>
        <v>40430.942738348785</v>
      </c>
      <c r="K99" s="346">
        <f>(+'Balance Sheet'!P19)/1000</f>
        <v>47025.697518400644</v>
      </c>
      <c r="L99" s="346">
        <f>(+'Balance Sheet'!Q19)/1000</f>
        <v>54765.12682316549</v>
      </c>
      <c r="M99" s="346">
        <f>(+'Balance Sheet'!R19)/1000</f>
        <v>64294.240618564443</v>
      </c>
      <c r="N99" s="346">
        <f>(+'Balance Sheet'!S19)/1000</f>
        <v>79889.948000000004</v>
      </c>
      <c r="O99" s="346">
        <f>(+'Balance Sheet'!T19)/1000</f>
        <v>90328.498999999996</v>
      </c>
      <c r="P99" s="345">
        <f>(+'Balance Sheet'!U19)/1000</f>
        <v>101343.92043586903</v>
      </c>
      <c r="Q99" s="345">
        <f>(+'Balance Sheet'!V19)/1000</f>
        <v>114739.52201051259</v>
      </c>
      <c r="R99" s="345">
        <f>(+'Balance Sheet'!W19)/1000</f>
        <v>129324.67895085254</v>
      </c>
      <c r="S99" s="345">
        <f>(+'Balance Sheet'!X19)/1000</f>
        <v>146036.20093916293</v>
      </c>
      <c r="T99" s="345">
        <f>(+'Balance Sheet'!Y19)/1000</f>
        <v>165725.11191594813</v>
      </c>
      <c r="U99" s="345">
        <f>(+'Balance Sheet'!Z19)/1000</f>
        <v>188810.57433231143</v>
      </c>
      <c r="V99" s="323"/>
      <c r="W99" s="329" t="s">
        <v>293</v>
      </c>
      <c r="X99" s="358">
        <f>(+'Balance Sheet'!BE19)/1000</f>
        <v>0</v>
      </c>
      <c r="Y99" s="358">
        <f>(+'Balance Sheet'!BF19)/1000</f>
        <v>0</v>
      </c>
      <c r="Z99" s="358">
        <f>(+'Balance Sheet'!BG19)/1000</f>
        <v>0</v>
      </c>
      <c r="AA99" s="358">
        <f>(+'Balance Sheet'!BH19)/1000</f>
        <v>0</v>
      </c>
      <c r="AB99" s="358">
        <f>(+'Balance Sheet'!BI19)/1000</f>
        <v>0</v>
      </c>
      <c r="AC99" s="358">
        <f>(+'Balance Sheet'!BJ19)/1000</f>
        <v>0</v>
      </c>
      <c r="AD99" s="358">
        <f>(+'Balance Sheet'!BK19)/1000</f>
        <v>0</v>
      </c>
      <c r="AE99" s="358">
        <f>(+'Balance Sheet'!BL19)/1000</f>
        <v>0</v>
      </c>
      <c r="AF99" s="358">
        <f>(+'Balance Sheet'!BM19)/1000</f>
        <v>0</v>
      </c>
      <c r="AG99" s="358">
        <f>(+'Balance Sheet'!BN19)/1000</f>
        <v>0</v>
      </c>
      <c r="AH99" s="358">
        <f>(+'Balance Sheet'!BO19)/1000</f>
        <v>0</v>
      </c>
      <c r="AI99" s="358">
        <f>(+'Balance Sheet'!BP19)/1000</f>
        <v>0</v>
      </c>
      <c r="AJ99" s="358">
        <f>(+'Balance Sheet'!BQ19)/1000</f>
        <v>0</v>
      </c>
      <c r="AK99" s="358">
        <f>(+'Balance Sheet'!BR19)/1000</f>
        <v>0</v>
      </c>
      <c r="AL99" s="358">
        <f>(+'Balance Sheet'!BS19)/1000</f>
        <v>0</v>
      </c>
      <c r="AM99" s="358">
        <f>(+'Balance Sheet'!BT19)/1000</f>
        <v>0</v>
      </c>
      <c r="AN99" s="358">
        <f>(+'Balance Sheet'!BU19)/1000</f>
        <v>0</v>
      </c>
      <c r="AO99" s="358">
        <f>(+'Balance Sheet'!BV19)/1000</f>
        <v>0</v>
      </c>
      <c r="AP99" s="358">
        <f>(+'Balance Sheet'!BW19)/1000</f>
        <v>0</v>
      </c>
      <c r="AQ99" s="358">
        <f>(+'Balance Sheet'!BX19)/1000</f>
        <v>0</v>
      </c>
      <c r="AR99" s="358">
        <f>(+'Balance Sheet'!BY19)/1000</f>
        <v>31988.558749551376</v>
      </c>
      <c r="AS99" s="358">
        <f>(+'Balance Sheet'!BZ19)/1000</f>
        <v>31917.102137638198</v>
      </c>
      <c r="AT99" s="358">
        <f>(+'Balance Sheet'!CA19)/1000</f>
        <v>30788.032590499515</v>
      </c>
      <c r="AU99" s="358">
        <f>(+'Balance Sheet'!CB19)/1000</f>
        <v>33509.313666521914</v>
      </c>
      <c r="AV99" s="358">
        <f>(+'Balance Sheet'!CC19)/1000</f>
        <v>33872.841148732092</v>
      </c>
      <c r="AW99" s="358">
        <f>(+'Balance Sheet'!CD19)/1000</f>
        <v>35883.409519024739</v>
      </c>
      <c r="AX99" s="358">
        <f>(+'Balance Sheet'!CE19)/1000</f>
        <v>37371.601698934901</v>
      </c>
      <c r="AY99" s="358">
        <f>(+'Balance Sheet'!CF19)/1000</f>
        <v>40430.942738348785</v>
      </c>
      <c r="AZ99" s="358">
        <f>(+'Balance Sheet'!CG19)/1000</f>
        <v>41154.57469679592</v>
      </c>
      <c r="BA99" s="358">
        <f>(+'Balance Sheet'!CH19)/1000</f>
        <v>44529.766064014424</v>
      </c>
      <c r="BB99" s="358">
        <f>(+'Balance Sheet'!CI19)/1000</f>
        <v>45480.720819672904</v>
      </c>
      <c r="BC99" s="358">
        <f>(+'Balance Sheet'!CJ19)/1000</f>
        <v>47025.697518400644</v>
      </c>
      <c r="BD99" s="358">
        <f>(+'Balance Sheet'!CK19)/1000</f>
        <v>48258.094014933384</v>
      </c>
      <c r="BE99" s="358">
        <f>(+'Balance Sheet'!CL19)/1000</f>
        <v>51369.26081457804</v>
      </c>
      <c r="BF99" s="358">
        <f>(+'Balance Sheet'!CM19)/1000</f>
        <v>52706.842399265945</v>
      </c>
      <c r="BG99" s="359">
        <f>(+'Balance Sheet'!CN19)/1000</f>
        <v>54765.12682316549</v>
      </c>
      <c r="BH99" s="358">
        <f>(+'Balance Sheet'!CO19)/1000</f>
        <v>56114.025908192263</v>
      </c>
      <c r="BI99" s="358">
        <f>(+'Balance Sheet'!CP19)/1000</f>
        <v>59404.148551029873</v>
      </c>
      <c r="BJ99" s="358">
        <f>(+'Balance Sheet'!CQ19)/1000</f>
        <v>62358.184714045216</v>
      </c>
      <c r="BK99" s="358">
        <f>(+'Balance Sheet'!CR19)/1000</f>
        <v>64294.240618564443</v>
      </c>
      <c r="BL99" s="358">
        <f>(+'Balance Sheet'!CS19)/1000</f>
        <v>70447.216</v>
      </c>
      <c r="BM99" s="358">
        <f>(+'Balance Sheet'!CT19)/1000</f>
        <v>73464.928</v>
      </c>
      <c r="BN99" s="358">
        <f>(+'Balance Sheet'!CU19)/1000</f>
        <v>75680.558000000005</v>
      </c>
      <c r="BO99" s="358">
        <f>(+'Balance Sheet'!CV19)/1000</f>
        <v>79889.948000000004</v>
      </c>
      <c r="BP99" s="358">
        <f>(+'Balance Sheet'!CW19)/1000</f>
        <v>81620.722999999998</v>
      </c>
      <c r="BQ99" s="358">
        <f>(+'Balance Sheet'!CX19)/1000</f>
        <v>83503.212</v>
      </c>
      <c r="BR99" s="358">
        <f>(+'Balance Sheet'!CY19)/1000</f>
        <v>87842.69</v>
      </c>
      <c r="BS99" s="358">
        <f>(+'Balance Sheet'!CZ19)/1000</f>
        <v>90328.498999999996</v>
      </c>
      <c r="BT99" s="357">
        <f>(+'Balance Sheet'!DA19)/1000</f>
        <v>96947.891254130955</v>
      </c>
      <c r="BU99" s="357">
        <f>(+'Balance Sheet'!DB19)/1000</f>
        <v>95563.420135869033</v>
      </c>
      <c r="BV99" s="357">
        <f>(+'Balance Sheet'!DC19)/1000</f>
        <v>102038.39727413091</v>
      </c>
      <c r="BW99" s="357">
        <f>(+'Balance Sheet'!DD19)/1000</f>
        <v>101343.92043586903</v>
      </c>
      <c r="BX99" s="357">
        <f>(+'Balance Sheet'!DE19)/1000</f>
        <v>107879.3977950142</v>
      </c>
      <c r="BY99" s="357">
        <f>(+'Balance Sheet'!DF19)/1000</f>
        <v>107955.26538990319</v>
      </c>
      <c r="BZ99" s="357">
        <f>(+'Balance Sheet'!DG19)/1000</f>
        <v>114621.01452956018</v>
      </c>
      <c r="CA99" s="357">
        <f>(+'Balance Sheet'!DH19)/1000</f>
        <v>114739.52201051259</v>
      </c>
      <c r="CB99" s="357">
        <f>(+'Balance Sheet'!DI19)/1000</f>
        <v>121099.42080478632</v>
      </c>
      <c r="CC99" s="357">
        <f>(+'Balance Sheet'!DJ19)/1000</f>
        <v>121892.81736813849</v>
      </c>
      <c r="CD99" s="357">
        <f>(+'Balance Sheet'!DK19)/1000</f>
        <v>128402.10839884976</v>
      </c>
      <c r="CE99" s="357">
        <f>(+'Balance Sheet'!DL19)/1000</f>
        <v>129324.67895085254</v>
      </c>
      <c r="CF99" s="357">
        <f>(+'Balance Sheet'!DM19)/1000</f>
        <v>135720.18725985565</v>
      </c>
      <c r="CG99" s="357">
        <f>(+'Balance Sheet'!DN19)/1000</f>
        <v>137516.64806801209</v>
      </c>
      <c r="CH99" s="357">
        <f>(+'Balance Sheet'!DO19)/1000</f>
        <v>144013.02500951078</v>
      </c>
      <c r="CI99" s="357">
        <f>(+'Balance Sheet'!DP19)/1000</f>
        <v>146036.20093916293</v>
      </c>
      <c r="CJ99" s="357">
        <f>(+'Balance Sheet'!DQ19)/1000</f>
        <v>152368.0621386375</v>
      </c>
      <c r="CK99" s="357">
        <f>(+'Balance Sheet'!DR19)/1000</f>
        <v>155440.6672219015</v>
      </c>
      <c r="CL99" s="357">
        <f>(+'Balance Sheet'!DS19)/1000</f>
        <v>161712.41837376717</v>
      </c>
      <c r="CM99" s="357">
        <f>(+'Balance Sheet'!DT19)/1000</f>
        <v>165725.11191594813</v>
      </c>
      <c r="CN99" s="357">
        <f>(+'Balance Sheet'!DU19)/1000</f>
        <v>171540.27102856478</v>
      </c>
      <c r="CO99" s="357">
        <f>(+'Balance Sheet'!DV19)/1000</f>
        <v>176780.39364576034</v>
      </c>
      <c r="CP99" s="357">
        <f>(+'Balance Sheet'!DW19)/1000</f>
        <v>182574.36665211053</v>
      </c>
      <c r="CQ99" s="357">
        <f>(+'Balance Sheet'!DX19)/1000</f>
        <v>188810.57433231143</v>
      </c>
    </row>
    <row r="100" spans="1:95" s="325" customFormat="1" ht="11.25" customHeight="1">
      <c r="A100" s="336" t="s">
        <v>309</v>
      </c>
      <c r="B100" s="334"/>
      <c r="C100" s="334"/>
      <c r="D100" s="334" t="e">
        <f t="shared" ref="D100:U100" si="445">+D99/C99-1</f>
        <v>#DIV/0!</v>
      </c>
      <c r="E100" s="334" t="e">
        <f t="shared" si="445"/>
        <v>#DIV/0!</v>
      </c>
      <c r="F100" s="334" t="e">
        <f t="shared" si="445"/>
        <v>#DIV/0!</v>
      </c>
      <c r="G100" s="334" t="e">
        <f t="shared" si="445"/>
        <v>#DIV/0!</v>
      </c>
      <c r="H100" s="334" t="e">
        <f t="shared" si="445"/>
        <v>#DIV/0!</v>
      </c>
      <c r="I100" s="334" t="e">
        <f t="shared" si="445"/>
        <v>#DIV/0!</v>
      </c>
      <c r="J100" s="334">
        <f t="shared" si="445"/>
        <v>0.2065583658534329</v>
      </c>
      <c r="K100" s="334">
        <f t="shared" si="445"/>
        <v>0.16311157577329327</v>
      </c>
      <c r="L100" s="334">
        <f t="shared" si="445"/>
        <v>0.1645787242546799</v>
      </c>
      <c r="M100" s="334">
        <f t="shared" si="445"/>
        <v>0.17399966636009268</v>
      </c>
      <c r="N100" s="334">
        <f t="shared" si="445"/>
        <v>0.24256772039597618</v>
      </c>
      <c r="O100" s="334">
        <f t="shared" si="445"/>
        <v>0.13066163217430038</v>
      </c>
      <c r="P100" s="333">
        <f t="shared" si="445"/>
        <v>0.12194846098205447</v>
      </c>
      <c r="Q100" s="333">
        <f t="shared" si="445"/>
        <v>0.13217962673074579</v>
      </c>
      <c r="R100" s="333">
        <f t="shared" si="445"/>
        <v>0.12711537127550199</v>
      </c>
      <c r="S100" s="333">
        <f t="shared" si="445"/>
        <v>0.12922144577417649</v>
      </c>
      <c r="T100" s="333">
        <f t="shared" si="445"/>
        <v>0.1348221252687023</v>
      </c>
      <c r="U100" s="333">
        <f t="shared" si="445"/>
        <v>0.13929972440188609</v>
      </c>
      <c r="V100" s="323"/>
      <c r="W100" s="336" t="s">
        <v>309</v>
      </c>
      <c r="X100" s="334">
        <v>0</v>
      </c>
      <c r="Y100" s="334" t="e">
        <f t="shared" ref="Y100:BD100" si="446">+Y99/X99-1</f>
        <v>#DIV/0!</v>
      </c>
      <c r="Z100" s="334" t="e">
        <f t="shared" si="446"/>
        <v>#DIV/0!</v>
      </c>
      <c r="AA100" s="334" t="e">
        <f t="shared" si="446"/>
        <v>#DIV/0!</v>
      </c>
      <c r="AB100" s="334" t="e">
        <f t="shared" si="446"/>
        <v>#DIV/0!</v>
      </c>
      <c r="AC100" s="334" t="e">
        <f t="shared" si="446"/>
        <v>#DIV/0!</v>
      </c>
      <c r="AD100" s="334" t="e">
        <f t="shared" si="446"/>
        <v>#DIV/0!</v>
      </c>
      <c r="AE100" s="334" t="e">
        <f t="shared" si="446"/>
        <v>#DIV/0!</v>
      </c>
      <c r="AF100" s="334" t="e">
        <f t="shared" si="446"/>
        <v>#DIV/0!</v>
      </c>
      <c r="AG100" s="334" t="e">
        <f t="shared" si="446"/>
        <v>#DIV/0!</v>
      </c>
      <c r="AH100" s="334" t="e">
        <f t="shared" si="446"/>
        <v>#DIV/0!</v>
      </c>
      <c r="AI100" s="334" t="e">
        <f t="shared" si="446"/>
        <v>#DIV/0!</v>
      </c>
      <c r="AJ100" s="334" t="e">
        <f t="shared" si="446"/>
        <v>#DIV/0!</v>
      </c>
      <c r="AK100" s="334" t="e">
        <f t="shared" si="446"/>
        <v>#DIV/0!</v>
      </c>
      <c r="AL100" s="334" t="e">
        <f t="shared" si="446"/>
        <v>#DIV/0!</v>
      </c>
      <c r="AM100" s="334" t="e">
        <f t="shared" si="446"/>
        <v>#DIV/0!</v>
      </c>
      <c r="AN100" s="334" t="e">
        <f t="shared" si="446"/>
        <v>#DIV/0!</v>
      </c>
      <c r="AO100" s="334" t="e">
        <f t="shared" si="446"/>
        <v>#DIV/0!</v>
      </c>
      <c r="AP100" s="334" t="e">
        <f t="shared" si="446"/>
        <v>#DIV/0!</v>
      </c>
      <c r="AQ100" s="334" t="e">
        <f t="shared" si="446"/>
        <v>#DIV/0!</v>
      </c>
      <c r="AR100" s="334" t="e">
        <f t="shared" si="446"/>
        <v>#DIV/0!</v>
      </c>
      <c r="AS100" s="334">
        <f t="shared" si="446"/>
        <v>-2.2338177994398745E-3</v>
      </c>
      <c r="AT100" s="334">
        <f t="shared" si="446"/>
        <v>-3.537506451148742E-2</v>
      </c>
      <c r="AU100" s="334">
        <f t="shared" si="446"/>
        <v>8.8387624900141404E-2</v>
      </c>
      <c r="AV100" s="334">
        <f t="shared" si="446"/>
        <v>1.0848550520250244E-2</v>
      </c>
      <c r="AW100" s="334">
        <f t="shared" si="446"/>
        <v>5.9356354592886129E-2</v>
      </c>
      <c r="AX100" s="334">
        <f t="shared" si="446"/>
        <v>4.1472987095084957E-2</v>
      </c>
      <c r="AY100" s="334">
        <f t="shared" si="446"/>
        <v>8.1862721968940289E-2</v>
      </c>
      <c r="AZ100" s="334">
        <f t="shared" si="446"/>
        <v>1.789797391394421E-2</v>
      </c>
      <c r="BA100" s="334">
        <f t="shared" si="446"/>
        <v>8.201254397803992E-2</v>
      </c>
      <c r="BB100" s="334">
        <f t="shared" si="446"/>
        <v>2.1355485099369798E-2</v>
      </c>
      <c r="BC100" s="334">
        <f t="shared" si="446"/>
        <v>3.39699255175272E-2</v>
      </c>
      <c r="BD100" s="334">
        <f t="shared" si="446"/>
        <v>2.620687329625504E-2</v>
      </c>
      <c r="BE100" s="334">
        <f t="shared" ref="BE100:CI100" si="447">+BE99/BD99-1</f>
        <v>6.4469326092363E-2</v>
      </c>
      <c r="BF100" s="334">
        <f t="shared" si="447"/>
        <v>2.6038560093672114E-2</v>
      </c>
      <c r="BG100" s="335">
        <f t="shared" si="447"/>
        <v>3.9051560104997218E-2</v>
      </c>
      <c r="BH100" s="334">
        <f t="shared" si="447"/>
        <v>2.4630621040691025E-2</v>
      </c>
      <c r="BI100" s="334">
        <f t="shared" si="447"/>
        <v>5.8632803289155433E-2</v>
      </c>
      <c r="BJ100" s="334">
        <f t="shared" si="447"/>
        <v>4.9727775501701599E-2</v>
      </c>
      <c r="BK100" s="334">
        <f t="shared" si="447"/>
        <v>3.1047342275875467E-2</v>
      </c>
      <c r="BL100" s="334">
        <f t="shared" si="447"/>
        <v>9.5700257476234007E-2</v>
      </c>
      <c r="BM100" s="334">
        <f t="shared" si="447"/>
        <v>4.2836497612623869E-2</v>
      </c>
      <c r="BN100" s="334">
        <f t="shared" si="447"/>
        <v>3.0159016830452856E-2</v>
      </c>
      <c r="BO100" s="334">
        <f t="shared" si="447"/>
        <v>5.5620493707247753E-2</v>
      </c>
      <c r="BP100" s="334">
        <f t="shared" si="447"/>
        <v>2.1664490256020574E-2</v>
      </c>
      <c r="BQ100" s="334">
        <f t="shared" si="447"/>
        <v>2.3063860877586162E-2</v>
      </c>
      <c r="BR100" s="334">
        <f t="shared" si="447"/>
        <v>5.1967797358501544E-2</v>
      </c>
      <c r="BS100" s="334">
        <f t="shared" si="447"/>
        <v>2.8298416180105423E-2</v>
      </c>
      <c r="BT100" s="333">
        <f t="shared" si="447"/>
        <v>7.3281326795112234E-2</v>
      </c>
      <c r="BU100" s="333">
        <f t="shared" si="447"/>
        <v>-1.4280569699373746E-2</v>
      </c>
      <c r="BV100" s="333">
        <f t="shared" si="447"/>
        <v>6.7755812098980517E-2</v>
      </c>
      <c r="BW100" s="333">
        <f t="shared" si="447"/>
        <v>-6.806034363673219E-3</v>
      </c>
      <c r="BX100" s="333">
        <f t="shared" si="447"/>
        <v>6.4488104772706611E-2</v>
      </c>
      <c r="BY100" s="333">
        <f t="shared" si="447"/>
        <v>7.0326305522350196E-4</v>
      </c>
      <c r="BZ100" s="333">
        <f t="shared" si="447"/>
        <v>6.1745474994501004E-2</v>
      </c>
      <c r="CA100" s="333">
        <f t="shared" si="447"/>
        <v>1.0339071019289658E-3</v>
      </c>
      <c r="CB100" s="333">
        <f t="shared" si="447"/>
        <v>5.5429015938300852E-2</v>
      </c>
      <c r="CC100" s="333">
        <f t="shared" si="447"/>
        <v>6.5516131958314183E-3</v>
      </c>
      <c r="CD100" s="333">
        <f t="shared" si="447"/>
        <v>5.3401760425735523E-2</v>
      </c>
      <c r="CE100" s="333">
        <f t="shared" si="447"/>
        <v>7.1850109278348562E-3</v>
      </c>
      <c r="CF100" s="333">
        <f t="shared" si="447"/>
        <v>4.9453115684390037E-2</v>
      </c>
      <c r="CG100" s="333">
        <f t="shared" si="447"/>
        <v>1.3236504048707687E-2</v>
      </c>
      <c r="CH100" s="333">
        <f t="shared" si="447"/>
        <v>4.724065800590016E-2</v>
      </c>
      <c r="CI100" s="333">
        <f t="shared" si="447"/>
        <v>1.404856213192196E-2</v>
      </c>
      <c r="CJ100" s="333">
        <f t="shared" ref="CJ100" si="448">+CJ99/CI99-1</f>
        <v>4.3358161597975009E-2</v>
      </c>
      <c r="CK100" s="333">
        <f t="shared" ref="CK100" si="449">+CK99/CJ99-1</f>
        <v>2.0165676718184367E-2</v>
      </c>
      <c r="CL100" s="333">
        <f t="shared" ref="CL100" si="450">+CL99/CK99-1</f>
        <v>4.0348200145797986E-2</v>
      </c>
      <c r="CM100" s="333">
        <f t="shared" ref="CM100" si="451">+CM99/CL99-1</f>
        <v>2.48137624960032E-2</v>
      </c>
      <c r="CN100" s="333">
        <f t="shared" ref="CN100" si="452">+CN99/CM99-1</f>
        <v>3.5089185008762902E-2</v>
      </c>
      <c r="CO100" s="333">
        <f t="shared" ref="CO100" si="453">+CO99/CN99-1</f>
        <v>3.0547477777524312E-2</v>
      </c>
      <c r="CP100" s="333">
        <f t="shared" ref="CP100" si="454">+CP99/CO99-1</f>
        <v>3.2774975136441897E-2</v>
      </c>
      <c r="CQ100" s="333">
        <f t="shared" ref="CQ100" si="455">+CQ99/CP99-1</f>
        <v>3.4157082368982294E-2</v>
      </c>
    </row>
    <row r="101" spans="1:95" s="325" customFormat="1" ht="11.25" customHeight="1">
      <c r="A101" s="329" t="s">
        <v>315</v>
      </c>
      <c r="B101" s="346"/>
      <c r="C101" s="346">
        <f>(+'Balance Sheet'!H67)/1000</f>
        <v>0</v>
      </c>
      <c r="D101" s="346">
        <f>(+'Balance Sheet'!I67)/1000</f>
        <v>0</v>
      </c>
      <c r="E101" s="346">
        <f>(+'Balance Sheet'!J67)/1000</f>
        <v>0</v>
      </c>
      <c r="F101" s="346">
        <f>(+'Balance Sheet'!K67)/1000</f>
        <v>0</v>
      </c>
      <c r="G101" s="346">
        <f>(+'Balance Sheet'!L67)/1000</f>
        <v>0</v>
      </c>
      <c r="H101" s="346">
        <f>(+'Balance Sheet'!M67)/1000</f>
        <v>0</v>
      </c>
      <c r="I101" s="346">
        <f>(+'Balance Sheet'!N67)/1000</f>
        <v>32976.043290704809</v>
      </c>
      <c r="J101" s="346">
        <f>(+'Balance Sheet'!O67)/1000</f>
        <v>39841.759578479498</v>
      </c>
      <c r="K101" s="346">
        <f>(+'Balance Sheet'!P67)/1000</f>
        <v>46327.040078152888</v>
      </c>
      <c r="L101" s="346">
        <f>(+'Balance Sheet'!Q67)/1000</f>
        <v>53815.60367201249</v>
      </c>
      <c r="M101" s="346">
        <f>(+'Balance Sheet'!R67)/1000</f>
        <v>62857.020944389747</v>
      </c>
      <c r="N101" s="346">
        <f>(+'Balance Sheet'!S67)/1000</f>
        <v>77880.838000000003</v>
      </c>
      <c r="O101" s="346">
        <f>(+'Balance Sheet'!T67)/1000</f>
        <v>88017.645000000004</v>
      </c>
      <c r="P101" s="345">
        <f>(+'Balance Sheet'!U67)/1000</f>
        <v>98945.25528702345</v>
      </c>
      <c r="Q101" s="345">
        <f>(+'Balance Sheet'!V67)/1000</f>
        <v>112167.96513003216</v>
      </c>
      <c r="R101" s="345">
        <f>(+'Balance Sheet'!W67)/1000</f>
        <v>126444.25511758613</v>
      </c>
      <c r="S101" s="345">
        <f>(+'Balance Sheet'!X67)/1000</f>
        <v>142766.97519935976</v>
      </c>
      <c r="T101" s="345">
        <f>(+'Balance Sheet'!Y67)/1000</f>
        <v>162005.60735210628</v>
      </c>
      <c r="U101" s="345">
        <f>(+'Balance Sheet'!Z67)/1000</f>
        <v>184575.85919315278</v>
      </c>
      <c r="V101" s="323"/>
      <c r="W101" s="329" t="s">
        <v>315</v>
      </c>
      <c r="X101" s="358">
        <f>(+'Balance Sheet'!BE67)/1000</f>
        <v>0</v>
      </c>
      <c r="Y101" s="358">
        <f>(+'Balance Sheet'!BF67)/1000</f>
        <v>0</v>
      </c>
      <c r="Z101" s="358">
        <f>(+'Balance Sheet'!BG67)/1000</f>
        <v>0</v>
      </c>
      <c r="AA101" s="358">
        <f>(+'Balance Sheet'!BH67)/1000</f>
        <v>0</v>
      </c>
      <c r="AB101" s="358">
        <f>(+'Balance Sheet'!BI67)/1000</f>
        <v>0</v>
      </c>
      <c r="AC101" s="358">
        <f>(+'Balance Sheet'!BJ67)/1000</f>
        <v>0</v>
      </c>
      <c r="AD101" s="358">
        <f>(+'Balance Sheet'!BK67)/1000</f>
        <v>0</v>
      </c>
      <c r="AE101" s="358">
        <f>(+'Balance Sheet'!BL67)/1000</f>
        <v>0</v>
      </c>
      <c r="AF101" s="358">
        <f>(+'Balance Sheet'!BM67)/1000</f>
        <v>0</v>
      </c>
      <c r="AG101" s="358">
        <f>(+'Balance Sheet'!BN67)/1000</f>
        <v>0</v>
      </c>
      <c r="AH101" s="358">
        <f>(+'Balance Sheet'!BO67)/1000</f>
        <v>0</v>
      </c>
      <c r="AI101" s="358">
        <f>(+'Balance Sheet'!BP67)/1000</f>
        <v>0</v>
      </c>
      <c r="AJ101" s="358">
        <f>(+'Balance Sheet'!BQ67)/1000</f>
        <v>0</v>
      </c>
      <c r="AK101" s="358">
        <f>(+'Balance Sheet'!BR67)/1000</f>
        <v>0</v>
      </c>
      <c r="AL101" s="358">
        <f>(+'Balance Sheet'!BS67)/1000</f>
        <v>0</v>
      </c>
      <c r="AM101" s="358">
        <f>(+'Balance Sheet'!BT67)/1000</f>
        <v>0</v>
      </c>
      <c r="AN101" s="358">
        <f>(+'Balance Sheet'!BU67)/1000</f>
        <v>0</v>
      </c>
      <c r="AO101" s="358">
        <f>(+'Balance Sheet'!BV67)/1000</f>
        <v>0</v>
      </c>
      <c r="AP101" s="358">
        <f>(+'Balance Sheet'!BW67)/1000</f>
        <v>0</v>
      </c>
      <c r="AQ101" s="358">
        <f>(+'Balance Sheet'!BX67)/1000</f>
        <v>0</v>
      </c>
      <c r="AR101" s="358">
        <f>(+'Balance Sheet'!BY67)/1000</f>
        <v>31618.712187210273</v>
      </c>
      <c r="AS101" s="358">
        <f>(+'Balance Sheet'!BZ67)/1000</f>
        <v>31475.453340346397</v>
      </c>
      <c r="AT101" s="358">
        <f>(+'Balance Sheet'!CA67)/1000</f>
        <v>30309.581648880514</v>
      </c>
      <c r="AU101" s="358">
        <f>(+'Balance Sheet'!CB67)/1000</f>
        <v>32976.043290704809</v>
      </c>
      <c r="AV101" s="358">
        <f>(+'Balance Sheet'!CC67)/1000</f>
        <v>33259.894799082213</v>
      </c>
      <c r="AW101" s="358">
        <f>(+'Balance Sheet'!CD67)/1000</f>
        <v>35273.359171519194</v>
      </c>
      <c r="AX101" s="358">
        <f>(+'Balance Sheet'!CE67)/1000</f>
        <v>36777.20507837458</v>
      </c>
      <c r="AY101" s="358">
        <f>(+'Balance Sheet'!CF67)/1000</f>
        <v>39841.759578479498</v>
      </c>
      <c r="AZ101" s="358">
        <f>(+'Balance Sheet'!CG67)/1000</f>
        <v>40511.949642456835</v>
      </c>
      <c r="BA101" s="358">
        <f>(+'Balance Sheet'!CH67)/1000</f>
        <v>43863.109214746932</v>
      </c>
      <c r="BB101" s="358">
        <f>(+'Balance Sheet'!CI67)/1000</f>
        <v>44780.138806408562</v>
      </c>
      <c r="BC101" s="358">
        <f>(+'Balance Sheet'!CJ67)/1000</f>
        <v>46327.040078152888</v>
      </c>
      <c r="BD101" s="358">
        <f>(+'Balance Sheet'!CK67)/1000</f>
        <v>47457.753607872924</v>
      </c>
      <c r="BE101" s="358">
        <f>(+'Balance Sheet'!CL67)/1000</f>
        <v>50473.99177470267</v>
      </c>
      <c r="BF101" s="358">
        <f>(+'Balance Sheet'!CM67)/1000</f>
        <v>51796.273305909126</v>
      </c>
      <c r="BG101" s="359">
        <f>(+'Balance Sheet'!CN67)/1000</f>
        <v>53815.60367201249</v>
      </c>
      <c r="BH101" s="358">
        <f>(+'Balance Sheet'!CO67)/1000</f>
        <v>55007.355784946958</v>
      </c>
      <c r="BI101" s="358">
        <f>(+'Balance Sheet'!CP67)/1000</f>
        <v>58152.47351325905</v>
      </c>
      <c r="BJ101" s="358">
        <f>(+'Balance Sheet'!CQ67)/1000</f>
        <v>60998.683352839958</v>
      </c>
      <c r="BK101" s="358">
        <f>(+'Balance Sheet'!CR67)/1000</f>
        <v>62857.020944389747</v>
      </c>
      <c r="BL101" s="358">
        <f>(+'Balance Sheet'!CS67)/1000</f>
        <v>68623.076000000001</v>
      </c>
      <c r="BM101" s="358">
        <f>(+'Balance Sheet'!CT67)/1000</f>
        <v>71524.773000000001</v>
      </c>
      <c r="BN101" s="358">
        <f>(+'Balance Sheet'!CU67)/1000</f>
        <v>73718.663</v>
      </c>
      <c r="BO101" s="358">
        <f>(+'Balance Sheet'!CV67)/1000</f>
        <v>77880.838000000003</v>
      </c>
      <c r="BP101" s="358">
        <f>(+'Balance Sheet'!CW67)/1000</f>
        <v>79512.894</v>
      </c>
      <c r="BQ101" s="358">
        <f>(+'Balance Sheet'!CX67)/1000</f>
        <v>81227.831999999995</v>
      </c>
      <c r="BR101" s="358">
        <f>(+'Balance Sheet'!CY67)/1000</f>
        <v>85586.035000000003</v>
      </c>
      <c r="BS101" s="358">
        <f>(+'Balance Sheet'!CZ67)/1000</f>
        <v>88017.645000000004</v>
      </c>
      <c r="BT101" s="357">
        <f>(+'Balance Sheet'!DA67)/1000</f>
        <v>94551.663868118834</v>
      </c>
      <c r="BU101" s="357">
        <f>(+'Balance Sheet'!DB67)/1000</f>
        <v>93272.099385793685</v>
      </c>
      <c r="BV101" s="357">
        <f>(+'Balance Sheet'!DC67)/1000</f>
        <v>99606.87048992778</v>
      </c>
      <c r="BW101" s="357">
        <f>(+'Balance Sheet'!DD67)/1000</f>
        <v>98945.25528702345</v>
      </c>
      <c r="BX101" s="357">
        <f>(+'Balance Sheet'!DE67)/1000</f>
        <v>105352.56187722183</v>
      </c>
      <c r="BY101" s="357">
        <f>(+'Balance Sheet'!DF67)/1000</f>
        <v>105467.11126449479</v>
      </c>
      <c r="BZ101" s="357">
        <f>(+'Balance Sheet'!DG67)/1000</f>
        <v>112017.50434426981</v>
      </c>
      <c r="CA101" s="357">
        <f>(+'Balance Sheet'!DH67)/1000</f>
        <v>112167.96513003216</v>
      </c>
      <c r="CB101" s="357">
        <f>(+'Balance Sheet'!DI67)/1000</f>
        <v>118428.03325744708</v>
      </c>
      <c r="CC101" s="357">
        <f>(+'Balance Sheet'!DJ67)/1000</f>
        <v>119190.4294004632</v>
      </c>
      <c r="CD101" s="357">
        <f>(+'Balance Sheet'!DK67)/1000</f>
        <v>125549.91353053946</v>
      </c>
      <c r="CE101" s="357">
        <f>(+'Balance Sheet'!DL67)/1000</f>
        <v>126444.25511758613</v>
      </c>
      <c r="CF101" s="357">
        <f>(+'Balance Sheet'!DM67)/1000</f>
        <v>132696.26641537048</v>
      </c>
      <c r="CG101" s="357">
        <f>(+'Balance Sheet'!DN67)/1000</f>
        <v>134449.35534100689</v>
      </c>
      <c r="CH101" s="357">
        <f>(+'Balance Sheet'!DO67)/1000</f>
        <v>140795.66894894402</v>
      </c>
      <c r="CI101" s="357">
        <f>(+'Balance Sheet'!DP67)/1000</f>
        <v>142766.97519935976</v>
      </c>
      <c r="CJ101" s="357">
        <f>(+'Balance Sheet'!DQ67)/1000</f>
        <v>148957.95699297902</v>
      </c>
      <c r="CK101" s="357">
        <f>(+'Balance Sheet'!DR67)/1000</f>
        <v>151959.85193370417</v>
      </c>
      <c r="CL101" s="357">
        <f>(+'Balance Sheet'!DS67)/1000</f>
        <v>158085.00759634041</v>
      </c>
      <c r="CM101" s="357">
        <f>(+'Balance Sheet'!DT67)/1000</f>
        <v>162005.60735210628</v>
      </c>
      <c r="CN101" s="357">
        <f>(+'Balance Sheet'!DU67)/1000</f>
        <v>167694.25722146005</v>
      </c>
      <c r="CO101" s="357">
        <f>(+'Balance Sheet'!DV67)/1000</f>
        <v>172817.73545195884</v>
      </c>
      <c r="CP101" s="357">
        <f>(+'Balance Sheet'!DW67)/1000</f>
        <v>178478.62608356177</v>
      </c>
      <c r="CQ101" s="357">
        <f>(+'Balance Sheet'!DX67)/1000</f>
        <v>184575.85919315278</v>
      </c>
    </row>
    <row r="102" spans="1:95" s="325" customFormat="1" ht="11.25" customHeight="1">
      <c r="A102" s="336" t="s">
        <v>309</v>
      </c>
      <c r="B102" s="334"/>
      <c r="C102" s="334"/>
      <c r="D102" s="334" t="e">
        <f t="shared" ref="D102:U102" si="456">+D101/C101-1</f>
        <v>#DIV/0!</v>
      </c>
      <c r="E102" s="334" t="e">
        <f t="shared" si="456"/>
        <v>#DIV/0!</v>
      </c>
      <c r="F102" s="334" t="e">
        <f t="shared" si="456"/>
        <v>#DIV/0!</v>
      </c>
      <c r="G102" s="334" t="e">
        <f t="shared" si="456"/>
        <v>#DIV/0!</v>
      </c>
      <c r="H102" s="334" t="e">
        <f t="shared" si="456"/>
        <v>#DIV/0!</v>
      </c>
      <c r="I102" s="334" t="e">
        <f t="shared" si="456"/>
        <v>#DIV/0!</v>
      </c>
      <c r="J102" s="334">
        <f t="shared" si="456"/>
        <v>0.20820315606845341</v>
      </c>
      <c r="K102" s="334">
        <f t="shared" si="456"/>
        <v>0.16277595588866545</v>
      </c>
      <c r="L102" s="334">
        <f t="shared" si="456"/>
        <v>0.16164563031064638</v>
      </c>
      <c r="M102" s="334">
        <f t="shared" si="456"/>
        <v>0.16800735577513115</v>
      </c>
      <c r="N102" s="334">
        <f t="shared" si="456"/>
        <v>0.23901573491530859</v>
      </c>
      <c r="O102" s="334">
        <f t="shared" si="456"/>
        <v>0.13015790867581578</v>
      </c>
      <c r="P102" s="333">
        <f t="shared" si="456"/>
        <v>0.12415249563906694</v>
      </c>
      <c r="Q102" s="333">
        <f t="shared" si="456"/>
        <v>0.13363662365266382</v>
      </c>
      <c r="R102" s="333">
        <f t="shared" si="456"/>
        <v>0.12727600051408627</v>
      </c>
      <c r="S102" s="333">
        <f t="shared" si="456"/>
        <v>0.12909024665924451</v>
      </c>
      <c r="T102" s="333">
        <f t="shared" si="456"/>
        <v>0.13475547917073749</v>
      </c>
      <c r="U102" s="333">
        <f t="shared" si="456"/>
        <v>0.13931771998478948</v>
      </c>
      <c r="V102" s="323"/>
      <c r="W102" s="336" t="s">
        <v>309</v>
      </c>
      <c r="X102" s="334">
        <v>0</v>
      </c>
      <c r="Y102" s="334" t="e">
        <f t="shared" ref="Y102:BD102" si="457">+Y101/X101-1</f>
        <v>#DIV/0!</v>
      </c>
      <c r="Z102" s="334" t="e">
        <f t="shared" si="457"/>
        <v>#DIV/0!</v>
      </c>
      <c r="AA102" s="334" t="e">
        <f t="shared" si="457"/>
        <v>#DIV/0!</v>
      </c>
      <c r="AB102" s="334" t="e">
        <f t="shared" si="457"/>
        <v>#DIV/0!</v>
      </c>
      <c r="AC102" s="334" t="e">
        <f t="shared" si="457"/>
        <v>#DIV/0!</v>
      </c>
      <c r="AD102" s="334" t="e">
        <f t="shared" si="457"/>
        <v>#DIV/0!</v>
      </c>
      <c r="AE102" s="334" t="e">
        <f t="shared" si="457"/>
        <v>#DIV/0!</v>
      </c>
      <c r="AF102" s="334" t="e">
        <f t="shared" si="457"/>
        <v>#DIV/0!</v>
      </c>
      <c r="AG102" s="334" t="e">
        <f t="shared" si="457"/>
        <v>#DIV/0!</v>
      </c>
      <c r="AH102" s="334" t="e">
        <f t="shared" si="457"/>
        <v>#DIV/0!</v>
      </c>
      <c r="AI102" s="334" t="e">
        <f t="shared" si="457"/>
        <v>#DIV/0!</v>
      </c>
      <c r="AJ102" s="334" t="e">
        <f t="shared" si="457"/>
        <v>#DIV/0!</v>
      </c>
      <c r="AK102" s="334" t="e">
        <f t="shared" si="457"/>
        <v>#DIV/0!</v>
      </c>
      <c r="AL102" s="334" t="e">
        <f t="shared" si="457"/>
        <v>#DIV/0!</v>
      </c>
      <c r="AM102" s="334" t="e">
        <f t="shared" si="457"/>
        <v>#DIV/0!</v>
      </c>
      <c r="AN102" s="334" t="e">
        <f t="shared" si="457"/>
        <v>#DIV/0!</v>
      </c>
      <c r="AO102" s="334" t="e">
        <f t="shared" si="457"/>
        <v>#DIV/0!</v>
      </c>
      <c r="AP102" s="334" t="e">
        <f t="shared" si="457"/>
        <v>#DIV/0!</v>
      </c>
      <c r="AQ102" s="334" t="e">
        <f t="shared" si="457"/>
        <v>#DIV/0!</v>
      </c>
      <c r="AR102" s="334" t="e">
        <f t="shared" si="457"/>
        <v>#DIV/0!</v>
      </c>
      <c r="AS102" s="334">
        <f t="shared" si="457"/>
        <v>-4.5308248487686553E-3</v>
      </c>
      <c r="AT102" s="334">
        <f t="shared" si="457"/>
        <v>-3.704066400122108E-2</v>
      </c>
      <c r="AU102" s="334">
        <f t="shared" si="457"/>
        <v>8.7974214646502125E-2</v>
      </c>
      <c r="AV102" s="334">
        <f t="shared" si="457"/>
        <v>8.607809793160115E-3</v>
      </c>
      <c r="AW102" s="334">
        <f t="shared" si="457"/>
        <v>6.053730429996862E-2</v>
      </c>
      <c r="AX102" s="334">
        <f t="shared" si="457"/>
        <v>4.2634042863420873E-2</v>
      </c>
      <c r="AY102" s="334">
        <f t="shared" si="457"/>
        <v>8.3327552857106912E-2</v>
      </c>
      <c r="AZ102" s="334">
        <f t="shared" si="457"/>
        <v>1.6821296826943888E-2</v>
      </c>
      <c r="BA102" s="334">
        <f t="shared" si="457"/>
        <v>8.2720273940557476E-2</v>
      </c>
      <c r="BB102" s="334">
        <f t="shared" si="457"/>
        <v>2.0906625364198295E-2</v>
      </c>
      <c r="BC102" s="334">
        <f t="shared" si="457"/>
        <v>3.4544360803163698E-2</v>
      </c>
      <c r="BD102" s="334">
        <f t="shared" si="457"/>
        <v>2.4407204255064485E-2</v>
      </c>
      <c r="BE102" s="334">
        <f t="shared" ref="BE102:CI102" si="458">+BE101/BD101-1</f>
        <v>6.355627768966654E-2</v>
      </c>
      <c r="BF102" s="334">
        <f t="shared" si="458"/>
        <v>2.6197284675019139E-2</v>
      </c>
      <c r="BG102" s="335">
        <f t="shared" si="458"/>
        <v>3.8986016506963539E-2</v>
      </c>
      <c r="BH102" s="334">
        <f t="shared" si="458"/>
        <v>2.2145103494476848E-2</v>
      </c>
      <c r="BI102" s="334">
        <f t="shared" si="458"/>
        <v>5.7176311848328609E-2</v>
      </c>
      <c r="BJ102" s="334">
        <f t="shared" si="458"/>
        <v>4.8943917044766083E-2</v>
      </c>
      <c r="BK102" s="334">
        <f t="shared" si="458"/>
        <v>3.0465208253765752E-2</v>
      </c>
      <c r="BL102" s="334">
        <f t="shared" si="458"/>
        <v>9.1732871984365083E-2</v>
      </c>
      <c r="BM102" s="334">
        <f t="shared" si="458"/>
        <v>4.2284566200442519E-2</v>
      </c>
      <c r="BN102" s="334">
        <f t="shared" si="458"/>
        <v>3.0673148728483257E-2</v>
      </c>
      <c r="BO102" s="334">
        <f t="shared" si="458"/>
        <v>5.6460261630084219E-2</v>
      </c>
      <c r="BP102" s="334">
        <f t="shared" si="458"/>
        <v>2.0955809438003126E-2</v>
      </c>
      <c r="BQ102" s="334">
        <f t="shared" si="458"/>
        <v>2.1568049076417628E-2</v>
      </c>
      <c r="BR102" s="334">
        <f t="shared" si="458"/>
        <v>5.365406034719733E-2</v>
      </c>
      <c r="BS102" s="334">
        <f t="shared" si="458"/>
        <v>2.8411293968694684E-2</v>
      </c>
      <c r="BT102" s="333">
        <f t="shared" si="458"/>
        <v>7.4235329383316673E-2</v>
      </c>
      <c r="BU102" s="333">
        <f t="shared" si="458"/>
        <v>-1.3532966316805339E-2</v>
      </c>
      <c r="BV102" s="333">
        <f t="shared" si="458"/>
        <v>6.7917106464304045E-2</v>
      </c>
      <c r="BW102" s="333">
        <f t="shared" si="458"/>
        <v>-6.6422647318412631E-3</v>
      </c>
      <c r="BX102" s="333">
        <f t="shared" si="458"/>
        <v>6.475607720260923E-2</v>
      </c>
      <c r="BY102" s="333">
        <f t="shared" si="458"/>
        <v>1.0872956977205916E-3</v>
      </c>
      <c r="BZ102" s="333">
        <f t="shared" si="458"/>
        <v>6.2108395700226193E-2</v>
      </c>
      <c r="CA102" s="333">
        <f t="shared" si="458"/>
        <v>1.3431899473490549E-3</v>
      </c>
      <c r="CB102" s="333">
        <f t="shared" si="458"/>
        <v>5.5809768146884542E-2</v>
      </c>
      <c r="CC102" s="333">
        <f t="shared" si="458"/>
        <v>6.4376323919757006E-3</v>
      </c>
      <c r="CD102" s="333">
        <f t="shared" si="458"/>
        <v>5.3355660870297639E-2</v>
      </c>
      <c r="CE102" s="333">
        <f t="shared" si="458"/>
        <v>7.1233946873976439E-3</v>
      </c>
      <c r="CF102" s="333">
        <f t="shared" si="458"/>
        <v>4.9444803102919321E-2</v>
      </c>
      <c r="CG102" s="333">
        <f t="shared" si="458"/>
        <v>1.3211290513244878E-2</v>
      </c>
      <c r="CH102" s="333">
        <f t="shared" si="458"/>
        <v>4.7202261341014573E-2</v>
      </c>
      <c r="CI102" s="333">
        <f t="shared" si="458"/>
        <v>1.4001185300171359E-2</v>
      </c>
      <c r="CJ102" s="333">
        <f t="shared" ref="CJ102" si="459">+CJ101/CI101-1</f>
        <v>4.3364242920844731E-2</v>
      </c>
      <c r="CK102" s="333">
        <f t="shared" ref="CK102" si="460">+CK101/CJ101-1</f>
        <v>2.0152632335489473E-2</v>
      </c>
      <c r="CL102" s="333">
        <f t="shared" ref="CL102" si="461">+CL101/CK101-1</f>
        <v>4.0307723288046438E-2</v>
      </c>
      <c r="CM102" s="333">
        <f t="shared" ref="CM102" si="462">+CM101/CL101-1</f>
        <v>2.4800579228720254E-2</v>
      </c>
      <c r="CN102" s="333">
        <f t="shared" ref="CN102" si="463">+CN101/CM101-1</f>
        <v>3.5113907242666942E-2</v>
      </c>
      <c r="CO102" s="333">
        <f t="shared" ref="CO102" si="464">+CO101/CN101-1</f>
        <v>3.0552496641149895E-2</v>
      </c>
      <c r="CP102" s="333">
        <f t="shared" ref="CP102" si="465">+CP101/CO101-1</f>
        <v>3.2756421768855848E-2</v>
      </c>
      <c r="CQ102" s="333">
        <f t="shared" ref="CQ102" si="466">+CQ101/CP101-1</f>
        <v>3.4162259332590095E-2</v>
      </c>
    </row>
    <row r="103" spans="1:95" s="325" customFormat="1" ht="11.25" customHeight="1">
      <c r="A103" s="329" t="s">
        <v>314</v>
      </c>
      <c r="B103" s="346"/>
      <c r="C103" s="346">
        <f>(-'Balance Sheet'!H80)/1000</f>
        <v>0</v>
      </c>
      <c r="D103" s="346">
        <f>(-'Balance Sheet'!I80)/1000</f>
        <v>0</v>
      </c>
      <c r="E103" s="346">
        <f>(-'Balance Sheet'!J80)/1000</f>
        <v>0</v>
      </c>
      <c r="F103" s="346">
        <f>(-'Balance Sheet'!K80)/1000</f>
        <v>0</v>
      </c>
      <c r="G103" s="346">
        <f>(-'Balance Sheet'!L80)/1000</f>
        <v>0</v>
      </c>
      <c r="H103" s="346">
        <f>(-'Balance Sheet'!M80)/1000</f>
        <v>0</v>
      </c>
      <c r="I103" s="346">
        <f>(-'Balance Sheet'!N80)/1000</f>
        <v>1024.0854427472</v>
      </c>
      <c r="J103" s="346">
        <f>(-'Balance Sheet'!O80)/1000</f>
        <v>1083.00607025574</v>
      </c>
      <c r="K103" s="346">
        <f>(-'Balance Sheet'!P80)/1000</f>
        <v>1401.1329232087201</v>
      </c>
      <c r="L103" s="346">
        <f>(-'Balance Sheet'!Q80)/1000</f>
        <v>1782.5051943420001</v>
      </c>
      <c r="M103" s="346">
        <f>(-'Balance Sheet'!R80)/1000</f>
        <v>2263.6485837341997</v>
      </c>
      <c r="N103" s="346">
        <f>(-'Balance Sheet'!S80)/1000</f>
        <v>3308.22</v>
      </c>
      <c r="O103" s="346">
        <f>(-'Balance Sheet'!T80)/1000</f>
        <v>3840.337</v>
      </c>
      <c r="P103" s="345">
        <f>(-'Balance Sheet'!U80)/1000</f>
        <v>3911.1861487936249</v>
      </c>
      <c r="Q103" s="345">
        <f>(-'Balance Sheet'!V80)/1000</f>
        <v>3945.3013278078297</v>
      </c>
      <c r="R103" s="345">
        <f>(-'Balance Sheet'!W80)/1000</f>
        <v>4434.3813089985515</v>
      </c>
      <c r="S103" s="345">
        <f>(-'Balance Sheet'!X80)/1000</f>
        <v>5129.5962744495664</v>
      </c>
      <c r="T103" s="345">
        <f>(-'Balance Sheet'!Y80)/1000</f>
        <v>5851.6006066378568</v>
      </c>
      <c r="U103" s="345">
        <f>(-'Balance Sheet'!Z80)/1000</f>
        <v>6590.7661289841544</v>
      </c>
      <c r="V103" s="323"/>
      <c r="W103" s="329" t="s">
        <v>314</v>
      </c>
      <c r="X103" s="358">
        <f>(-'Balance Sheet'!BE80)/1000</f>
        <v>0</v>
      </c>
      <c r="Y103" s="358">
        <f>(-'Balance Sheet'!BF80)/1000</f>
        <v>0</v>
      </c>
      <c r="Z103" s="358">
        <f>(-'Balance Sheet'!BG80)/1000</f>
        <v>0</v>
      </c>
      <c r="AA103" s="358">
        <f>(-'Balance Sheet'!BH80)/1000</f>
        <v>0</v>
      </c>
      <c r="AB103" s="358">
        <f>(-'Balance Sheet'!BI80)/1000</f>
        <v>0</v>
      </c>
      <c r="AC103" s="358">
        <f>(-'Balance Sheet'!BJ80)/1000</f>
        <v>0</v>
      </c>
      <c r="AD103" s="358">
        <f>(-'Balance Sheet'!BK80)/1000</f>
        <v>0</v>
      </c>
      <c r="AE103" s="358">
        <f>(-'Balance Sheet'!BL80)/1000</f>
        <v>0</v>
      </c>
      <c r="AF103" s="358">
        <f>(-'Balance Sheet'!BM80)/1000</f>
        <v>0</v>
      </c>
      <c r="AG103" s="358">
        <f>(-'Balance Sheet'!BN80)/1000</f>
        <v>0</v>
      </c>
      <c r="AH103" s="358">
        <f>(-'Balance Sheet'!BO80)/1000</f>
        <v>0</v>
      </c>
      <c r="AI103" s="358">
        <f>(-'Balance Sheet'!BP80)/1000</f>
        <v>0</v>
      </c>
      <c r="AJ103" s="358">
        <f>(-'Balance Sheet'!BQ80)/1000</f>
        <v>0</v>
      </c>
      <c r="AK103" s="358">
        <f>(-'Balance Sheet'!BR80)/1000</f>
        <v>0</v>
      </c>
      <c r="AL103" s="358">
        <f>(-'Balance Sheet'!BS80)/1000</f>
        <v>0</v>
      </c>
      <c r="AM103" s="358">
        <f>(-'Balance Sheet'!BT80)/1000</f>
        <v>0</v>
      </c>
      <c r="AN103" s="358">
        <f>(-'Balance Sheet'!BU80)/1000</f>
        <v>0</v>
      </c>
      <c r="AO103" s="358">
        <f>(-'Balance Sheet'!BV80)/1000</f>
        <v>0</v>
      </c>
      <c r="AP103" s="358">
        <f>(-'Balance Sheet'!BW80)/1000</f>
        <v>0</v>
      </c>
      <c r="AQ103" s="358">
        <f>(-'Balance Sheet'!BX80)/1000</f>
        <v>0</v>
      </c>
      <c r="AR103" s="358">
        <f>(-'Balance Sheet'!BY80)/1000</f>
        <v>759.48433853481015</v>
      </c>
      <c r="AS103" s="358">
        <f>(-'Balance Sheet'!BZ80)/1000</f>
        <v>851.98376669280015</v>
      </c>
      <c r="AT103" s="358">
        <f>(-'Balance Sheet'!CA80)/1000</f>
        <v>917.38194118871991</v>
      </c>
      <c r="AU103" s="358">
        <f>(-'Balance Sheet'!CB80)/1000</f>
        <v>1024.0854427472</v>
      </c>
      <c r="AV103" s="358">
        <f>(-'Balance Sheet'!CC80)/1000</f>
        <v>1083.00607025574</v>
      </c>
      <c r="AW103" s="358">
        <f>(-'Balance Sheet'!CD80)/1000</f>
        <v>1093.8815999254798</v>
      </c>
      <c r="AX103" s="358">
        <f>(-'Balance Sheet'!CE80)/1000</f>
        <v>1147.5082723836301</v>
      </c>
      <c r="AY103" s="358">
        <f>(-'Balance Sheet'!CF80)/1000</f>
        <v>1167.7105730707999</v>
      </c>
      <c r="AZ103" s="358">
        <f>(-'Balance Sheet'!CG80)/1000</f>
        <v>1217.5211114931599</v>
      </c>
      <c r="BA103" s="358">
        <f>(-'Balance Sheet'!CH80)/1000</f>
        <v>1293.2395348191601</v>
      </c>
      <c r="BB103" s="358">
        <f>(-'Balance Sheet'!CI80)/1000</f>
        <v>1339.8097944088001</v>
      </c>
      <c r="BC103" s="358">
        <f>(-'Balance Sheet'!CJ80)/1000</f>
        <v>1401.1329232087201</v>
      </c>
      <c r="BD103" s="358">
        <f>(-'Balance Sheet'!CK80)/1000</f>
        <v>1504.3434343602</v>
      </c>
      <c r="BE103" s="358">
        <f>(-'Balance Sheet'!CL80)/1000</f>
        <v>1672.3628494049597</v>
      </c>
      <c r="BF103" s="358">
        <f>(-'Balance Sheet'!CM80)/1000</f>
        <v>1742.1722409302404</v>
      </c>
      <c r="BG103" s="359">
        <f>(-'Balance Sheet'!CN80)/1000</f>
        <v>1782.5051943420001</v>
      </c>
      <c r="BH103" s="358">
        <f>(-'Balance Sheet'!CO80)/1000</f>
        <v>1912.1832125431797</v>
      </c>
      <c r="BI103" s="358">
        <f>(-'Balance Sheet'!CP80)/1000</f>
        <v>2095.5458473479403</v>
      </c>
      <c r="BJ103" s="358">
        <f>(-'Balance Sheet'!CQ80)/1000</f>
        <v>2210.7454455673601</v>
      </c>
      <c r="BK103" s="358">
        <f>(-'Balance Sheet'!CR80)/1000</f>
        <v>2263.6485837341997</v>
      </c>
      <c r="BL103" s="358">
        <f>(-'Balance Sheet'!CS80)/1000</f>
        <v>2946.7979999999998</v>
      </c>
      <c r="BM103" s="358">
        <f>(-'Balance Sheet'!CT80)/1000</f>
        <v>3072.2440000000001</v>
      </c>
      <c r="BN103" s="358">
        <f>(-'Balance Sheet'!CU80)/1000</f>
        <v>3168.154</v>
      </c>
      <c r="BO103" s="358">
        <f>(-'Balance Sheet'!CV80)/1000</f>
        <v>3308.22</v>
      </c>
      <c r="BP103" s="358">
        <f>(-'Balance Sheet'!CW80)/1000</f>
        <v>3466.3409999999999</v>
      </c>
      <c r="BQ103" s="358">
        <f>(-'Balance Sheet'!CX80)/1000</f>
        <v>3622.6320000000001</v>
      </c>
      <c r="BR103" s="358">
        <f>(-'Balance Sheet'!CY80)/1000</f>
        <v>3674.654</v>
      </c>
      <c r="BS103" s="358">
        <f>(-'Balance Sheet'!CZ80)/1000</f>
        <v>3840.337</v>
      </c>
      <c r="BT103" s="357">
        <f>(-'Balance Sheet'!DA80)/1000</f>
        <v>3876.6581487026956</v>
      </c>
      <c r="BU103" s="357">
        <f>(-'Balance Sheet'!DB80)/1000</f>
        <v>3906.1519895430069</v>
      </c>
      <c r="BV103" s="357">
        <f>(-'Balance Sheet'!DC80)/1000</f>
        <v>3914.1550236961598</v>
      </c>
      <c r="BW103" s="357">
        <f>(-'Balance Sheet'!DD80)/1000</f>
        <v>3911.1861487936249</v>
      </c>
      <c r="BX103" s="357">
        <f>(-'Balance Sheet'!DE80)/1000</f>
        <v>3895.971240943441</v>
      </c>
      <c r="BY103" s="357">
        <f>(-'Balance Sheet'!DF80)/1000</f>
        <v>3880.1565298614009</v>
      </c>
      <c r="BZ103" s="357">
        <f>(-'Balance Sheet'!DG80)/1000</f>
        <v>3886.5033029057304</v>
      </c>
      <c r="CA103" s="357">
        <f>(-'Balance Sheet'!DH80)/1000</f>
        <v>3945.3013278078297</v>
      </c>
      <c r="CB103" s="357">
        <f>(-'Balance Sheet'!DI80)/1000</f>
        <v>4031.9213617320256</v>
      </c>
      <c r="CC103" s="357">
        <f>(-'Balance Sheet'!DJ80)/1000</f>
        <v>4148.1333555053097</v>
      </c>
      <c r="CD103" s="357">
        <f>(-'Balance Sheet'!DK80)/1000</f>
        <v>4281.0451638128452</v>
      </c>
      <c r="CE103" s="357">
        <f>(-'Balance Sheet'!DL80)/1000</f>
        <v>4434.3813089985515</v>
      </c>
      <c r="CF103" s="357">
        <f>(-'Balance Sheet'!DM80)/1000</f>
        <v>4584.025008111752</v>
      </c>
      <c r="CG103" s="357">
        <f>(-'Balance Sheet'!DN80)/1000</f>
        <v>4753.7221727694887</v>
      </c>
      <c r="CH103" s="357">
        <f>(-'Balance Sheet'!DO80)/1000</f>
        <v>4937.3189812430846</v>
      </c>
      <c r="CI103" s="357">
        <f>(-'Balance Sheet'!DP80)/1000</f>
        <v>5129.5962744495664</v>
      </c>
      <c r="CJ103" s="357">
        <f>(-'Balance Sheet'!DQ80)/1000</f>
        <v>5309.4065087295321</v>
      </c>
      <c r="CK103" s="357">
        <f>(-'Balance Sheet'!DR80)/1000</f>
        <v>5488.4119777347487</v>
      </c>
      <c r="CL103" s="357">
        <f>(-'Balance Sheet'!DS80)/1000</f>
        <v>5664.6326787155267</v>
      </c>
      <c r="CM103" s="357">
        <f>(-'Balance Sheet'!DT80)/1000</f>
        <v>5851.6006066378568</v>
      </c>
      <c r="CN103" s="357">
        <f>(-'Balance Sheet'!DU80)/1000</f>
        <v>6020.9630189430854</v>
      </c>
      <c r="CO103" s="357">
        <f>(-'Balance Sheet'!DV80)/1000</f>
        <v>6197.4851555056011</v>
      </c>
      <c r="CP103" s="357">
        <f>(-'Balance Sheet'!DW80)/1000</f>
        <v>6388.7414129616727</v>
      </c>
      <c r="CQ103" s="357">
        <f>(-'Balance Sheet'!DX80)/1000</f>
        <v>6590.7661289841544</v>
      </c>
    </row>
    <row r="104" spans="1:95" s="325" customFormat="1" ht="11.25" customHeight="1">
      <c r="A104" s="336" t="s">
        <v>309</v>
      </c>
      <c r="B104" s="334"/>
      <c r="C104" s="334"/>
      <c r="D104" s="334" t="e">
        <f t="shared" ref="D104:U104" si="467">+D103/C103-1</f>
        <v>#DIV/0!</v>
      </c>
      <c r="E104" s="334" t="e">
        <f t="shared" si="467"/>
        <v>#DIV/0!</v>
      </c>
      <c r="F104" s="334" t="e">
        <f t="shared" si="467"/>
        <v>#DIV/0!</v>
      </c>
      <c r="G104" s="334" t="e">
        <f t="shared" si="467"/>
        <v>#DIV/0!</v>
      </c>
      <c r="H104" s="334" t="e">
        <f t="shared" si="467"/>
        <v>#DIV/0!</v>
      </c>
      <c r="I104" s="334" t="e">
        <f t="shared" si="467"/>
        <v>#DIV/0!</v>
      </c>
      <c r="J104" s="334">
        <f t="shared" si="467"/>
        <v>5.7534874580855488E-2</v>
      </c>
      <c r="K104" s="334">
        <f t="shared" si="467"/>
        <v>0.2937442934903014</v>
      </c>
      <c r="L104" s="334">
        <f t="shared" si="467"/>
        <v>0.27218850175892184</v>
      </c>
      <c r="M104" s="334">
        <f t="shared" si="467"/>
        <v>0.26992537857361509</v>
      </c>
      <c r="N104" s="334">
        <f t="shared" si="467"/>
        <v>0.46145476103125338</v>
      </c>
      <c r="O104" s="334">
        <f t="shared" si="467"/>
        <v>0.16084692070055806</v>
      </c>
      <c r="P104" s="333">
        <f t="shared" si="467"/>
        <v>1.8448680101153858E-2</v>
      </c>
      <c r="Q104" s="333">
        <f t="shared" si="467"/>
        <v>8.7224636507590159E-3</v>
      </c>
      <c r="R104" s="333">
        <f t="shared" si="467"/>
        <v>0.1239651779557418</v>
      </c>
      <c r="S104" s="333">
        <f t="shared" si="467"/>
        <v>0.15677834561503246</v>
      </c>
      <c r="T104" s="333">
        <f t="shared" si="467"/>
        <v>0.14075266230689176</v>
      </c>
      <c r="U104" s="333">
        <f t="shared" si="467"/>
        <v>0.1263185189891145</v>
      </c>
      <c r="V104" s="323"/>
      <c r="W104" s="336" t="s">
        <v>309</v>
      </c>
      <c r="X104" s="334">
        <v>0</v>
      </c>
      <c r="Y104" s="334" t="e">
        <f t="shared" ref="Y104:BD104" si="468">+Y103/X103-1</f>
        <v>#DIV/0!</v>
      </c>
      <c r="Z104" s="334" t="e">
        <f t="shared" si="468"/>
        <v>#DIV/0!</v>
      </c>
      <c r="AA104" s="334" t="e">
        <f t="shared" si="468"/>
        <v>#DIV/0!</v>
      </c>
      <c r="AB104" s="334" t="e">
        <f t="shared" si="468"/>
        <v>#DIV/0!</v>
      </c>
      <c r="AC104" s="334" t="e">
        <f t="shared" si="468"/>
        <v>#DIV/0!</v>
      </c>
      <c r="AD104" s="334" t="e">
        <f t="shared" si="468"/>
        <v>#DIV/0!</v>
      </c>
      <c r="AE104" s="334" t="e">
        <f t="shared" si="468"/>
        <v>#DIV/0!</v>
      </c>
      <c r="AF104" s="334" t="e">
        <f t="shared" si="468"/>
        <v>#DIV/0!</v>
      </c>
      <c r="AG104" s="334" t="e">
        <f t="shared" si="468"/>
        <v>#DIV/0!</v>
      </c>
      <c r="AH104" s="334" t="e">
        <f t="shared" si="468"/>
        <v>#DIV/0!</v>
      </c>
      <c r="AI104" s="334" t="e">
        <f t="shared" si="468"/>
        <v>#DIV/0!</v>
      </c>
      <c r="AJ104" s="334" t="e">
        <f t="shared" si="468"/>
        <v>#DIV/0!</v>
      </c>
      <c r="AK104" s="334" t="e">
        <f t="shared" si="468"/>
        <v>#DIV/0!</v>
      </c>
      <c r="AL104" s="334" t="e">
        <f t="shared" si="468"/>
        <v>#DIV/0!</v>
      </c>
      <c r="AM104" s="334" t="e">
        <f t="shared" si="468"/>
        <v>#DIV/0!</v>
      </c>
      <c r="AN104" s="334" t="e">
        <f t="shared" si="468"/>
        <v>#DIV/0!</v>
      </c>
      <c r="AO104" s="334" t="e">
        <f t="shared" si="468"/>
        <v>#DIV/0!</v>
      </c>
      <c r="AP104" s="334" t="e">
        <f t="shared" si="468"/>
        <v>#DIV/0!</v>
      </c>
      <c r="AQ104" s="334" t="e">
        <f t="shared" si="468"/>
        <v>#DIV/0!</v>
      </c>
      <c r="AR104" s="334" t="e">
        <f t="shared" si="468"/>
        <v>#DIV/0!</v>
      </c>
      <c r="AS104" s="334">
        <f t="shared" si="468"/>
        <v>0.12179241027726651</v>
      </c>
      <c r="AT104" s="334">
        <f t="shared" si="468"/>
        <v>7.6759883289537312E-2</v>
      </c>
      <c r="AU104" s="334">
        <f t="shared" si="468"/>
        <v>0.1163130608612335</v>
      </c>
      <c r="AV104" s="334">
        <f t="shared" si="468"/>
        <v>5.7534874580855488E-2</v>
      </c>
      <c r="AW104" s="334">
        <f t="shared" si="468"/>
        <v>1.0041984037237883E-2</v>
      </c>
      <c r="AX104" s="334">
        <f t="shared" si="468"/>
        <v>4.9024201944528167E-2</v>
      </c>
      <c r="AY104" s="334">
        <f t="shared" si="468"/>
        <v>1.7605363876989744E-2</v>
      </c>
      <c r="AZ104" s="334">
        <f t="shared" si="468"/>
        <v>4.2656579096796321E-2</v>
      </c>
      <c r="BA104" s="334">
        <f t="shared" si="468"/>
        <v>6.2190645083056939E-2</v>
      </c>
      <c r="BB104" s="334">
        <f t="shared" si="468"/>
        <v>3.6010544323602289E-2</v>
      </c>
      <c r="BC104" s="334">
        <f t="shared" si="468"/>
        <v>4.5770025757259969E-2</v>
      </c>
      <c r="BD104" s="334">
        <f t="shared" si="468"/>
        <v>7.3662183966899164E-2</v>
      </c>
      <c r="BE104" s="334">
        <f t="shared" ref="BE104:CI104" si="469">+BE103/BD103-1</f>
        <v>0.1116895325941436</v>
      </c>
      <c r="BF104" s="334">
        <f t="shared" si="469"/>
        <v>4.1742969565557786E-2</v>
      </c>
      <c r="BG104" s="335">
        <f t="shared" si="469"/>
        <v>2.315095629707864E-2</v>
      </c>
      <c r="BH104" s="334">
        <f t="shared" si="469"/>
        <v>7.2750429346742695E-2</v>
      </c>
      <c r="BI104" s="334">
        <f t="shared" si="469"/>
        <v>9.5891771040542917E-2</v>
      </c>
      <c r="BJ104" s="334">
        <f t="shared" si="469"/>
        <v>5.497355181477559E-2</v>
      </c>
      <c r="BK104" s="334">
        <f t="shared" si="469"/>
        <v>2.3929999843678385E-2</v>
      </c>
      <c r="BL104" s="334">
        <f t="shared" si="469"/>
        <v>0.30179128561503621</v>
      </c>
      <c r="BM104" s="334">
        <f t="shared" si="469"/>
        <v>4.2570274582784506E-2</v>
      </c>
      <c r="BN104" s="334">
        <f t="shared" si="469"/>
        <v>3.1218223552556434E-2</v>
      </c>
      <c r="BO104" s="334">
        <f t="shared" si="469"/>
        <v>4.4210603398698423E-2</v>
      </c>
      <c r="BP104" s="334">
        <f t="shared" si="469"/>
        <v>4.7796398063006729E-2</v>
      </c>
      <c r="BQ104" s="334">
        <f t="shared" si="469"/>
        <v>4.5088177995182832E-2</v>
      </c>
      <c r="BR104" s="334">
        <f t="shared" si="469"/>
        <v>1.4360277279061195E-2</v>
      </c>
      <c r="BS104" s="334">
        <f t="shared" si="469"/>
        <v>4.5088054548809264E-2</v>
      </c>
      <c r="BT104" s="333">
        <f t="shared" si="469"/>
        <v>9.4578024539762051E-3</v>
      </c>
      <c r="BU104" s="333">
        <f t="shared" si="469"/>
        <v>7.6080582060560342E-3</v>
      </c>
      <c r="BV104" s="333">
        <f t="shared" si="469"/>
        <v>2.0488281496924277E-3</v>
      </c>
      <c r="BW104" s="333">
        <f t="shared" si="469"/>
        <v>-7.5849701520802615E-4</v>
      </c>
      <c r="BX104" s="333">
        <f t="shared" si="469"/>
        <v>-3.8901006680228667E-3</v>
      </c>
      <c r="BY104" s="333">
        <f t="shared" si="469"/>
        <v>-4.0592473876194246E-3</v>
      </c>
      <c r="BZ104" s="333">
        <f t="shared" si="469"/>
        <v>1.6357002598954562E-3</v>
      </c>
      <c r="CA104" s="333">
        <f t="shared" si="469"/>
        <v>1.5128772657452494E-2</v>
      </c>
      <c r="CB104" s="333">
        <f t="shared" si="469"/>
        <v>2.1955239087485756E-2</v>
      </c>
      <c r="CC104" s="333">
        <f t="shared" si="469"/>
        <v>2.8822981240725909E-2</v>
      </c>
      <c r="CD104" s="333">
        <f t="shared" si="469"/>
        <v>3.2041353764853842E-2</v>
      </c>
      <c r="CE104" s="333">
        <f t="shared" si="469"/>
        <v>3.5817455625518191E-2</v>
      </c>
      <c r="CF104" s="333">
        <f t="shared" si="469"/>
        <v>3.3746240723487864E-2</v>
      </c>
      <c r="CG104" s="333">
        <f t="shared" si="469"/>
        <v>3.70192493185455E-2</v>
      </c>
      <c r="CH104" s="333">
        <f t="shared" si="469"/>
        <v>3.8621695126670241E-2</v>
      </c>
      <c r="CI104" s="333">
        <f t="shared" si="469"/>
        <v>3.8943664352444118E-2</v>
      </c>
      <c r="CJ104" s="333">
        <f t="shared" ref="CJ104" si="470">+CJ103/CI103-1</f>
        <v>3.5053486601976269E-2</v>
      </c>
      <c r="CK104" s="333">
        <f t="shared" ref="CK104" si="471">+CK103/CJ103-1</f>
        <v>3.3714779365811021E-2</v>
      </c>
      <c r="CL104" s="333">
        <f t="shared" ref="CL104" si="472">+CL103/CK103-1</f>
        <v>3.210777574563739E-2</v>
      </c>
      <c r="CM104" s="333">
        <f t="shared" ref="CM104" si="473">+CM103/CL103-1</f>
        <v>3.300618743115491E-2</v>
      </c>
      <c r="CN104" s="333">
        <f t="shared" ref="CN104" si="474">+CN103/CM103-1</f>
        <v>2.8942920696451768E-2</v>
      </c>
      <c r="CO104" s="333">
        <f t="shared" ref="CO104" si="475">+CO103/CN103-1</f>
        <v>2.931792406084277E-2</v>
      </c>
      <c r="CP104" s="333">
        <f t="shared" ref="CP104" si="476">+CP103/CO103-1</f>
        <v>3.0860301018416747E-2</v>
      </c>
      <c r="CQ104" s="333">
        <f t="shared" ref="CQ104" si="477">+CQ103/CP103-1</f>
        <v>3.1621989835526554E-2</v>
      </c>
    </row>
    <row r="105" spans="1:95" s="325" customFormat="1" ht="11.25" customHeight="1">
      <c r="A105" s="331" t="s">
        <v>16</v>
      </c>
      <c r="B105" s="346"/>
      <c r="C105" s="346">
        <f>SUM('Balance Sheet'!H16:H17)/1000</f>
        <v>0</v>
      </c>
      <c r="D105" s="346">
        <f>SUM('Balance Sheet'!I16:I17)/1000</f>
        <v>0</v>
      </c>
      <c r="E105" s="346">
        <f>SUM('Balance Sheet'!J16:J17)/1000</f>
        <v>0</v>
      </c>
      <c r="F105" s="346">
        <f>SUM('Balance Sheet'!K16:K17)/1000</f>
        <v>0</v>
      </c>
      <c r="G105" s="346">
        <f>SUM('Balance Sheet'!L16:L17)/1000</f>
        <v>0</v>
      </c>
      <c r="H105" s="346">
        <f>SUM('Balance Sheet'!M16:M17)/1000</f>
        <v>0</v>
      </c>
      <c r="I105" s="346">
        <f>SUM('Balance Sheet'!N16:N17)/1000</f>
        <v>14910.491025239004</v>
      </c>
      <c r="J105" s="346">
        <f>SUM('Balance Sheet'!O16:O17)/1000</f>
        <v>10977.449687066932</v>
      </c>
      <c r="K105" s="346">
        <f>SUM('Balance Sheet'!P16:P17)/1000</f>
        <v>16331.144024977684</v>
      </c>
      <c r="L105" s="346">
        <f>SUM('Balance Sheet'!Q16:Q17)/1000</f>
        <v>20332.237693371</v>
      </c>
      <c r="M105" s="346">
        <f>SUM('Balance Sheet'!R16:R17)/1000</f>
        <v>20797.969392390864</v>
      </c>
      <c r="N105" s="346">
        <f>SUM('Balance Sheet'!S16:S17)/1000</f>
        <v>21363.113000000001</v>
      </c>
      <c r="O105" s="346">
        <f>SUM('Balance Sheet'!T16:T17)/1000</f>
        <v>25755.044000000002</v>
      </c>
      <c r="P105" s="345">
        <f>SUM('Balance Sheet'!U16:U17)/1000</f>
        <v>26594.40318362074</v>
      </c>
      <c r="Q105" s="345">
        <f>SUM('Balance Sheet'!V16:V17)/1000</f>
        <v>27385.577802967349</v>
      </c>
      <c r="R105" s="345">
        <f>SUM('Balance Sheet'!W16:W17)/1000</f>
        <v>28207.145137056363</v>
      </c>
      <c r="S105" s="345">
        <f>SUM('Balance Sheet'!X16:X17)/1000</f>
        <v>29053.359491168045</v>
      </c>
      <c r="T105" s="345">
        <f>SUM('Balance Sheet'!Y16:Y17)/1000</f>
        <v>29924.960275903071</v>
      </c>
      <c r="U105" s="345">
        <f>SUM('Balance Sheet'!Z16:Z17)/1000</f>
        <v>30822.709084180162</v>
      </c>
      <c r="V105" s="323"/>
      <c r="W105" s="331" t="s">
        <v>16</v>
      </c>
      <c r="X105" s="358">
        <f>(+'Balance Sheet'!BE25)/1000</f>
        <v>0</v>
      </c>
      <c r="Y105" s="358">
        <f>(+'Balance Sheet'!BF25)/1000</f>
        <v>0</v>
      </c>
      <c r="Z105" s="358">
        <f>(+'Balance Sheet'!BG25)/1000</f>
        <v>0</v>
      </c>
      <c r="AA105" s="358">
        <f>(+'Balance Sheet'!BH25)/1000</f>
        <v>0</v>
      </c>
      <c r="AB105" s="358">
        <f>(+'Balance Sheet'!BI25)/1000</f>
        <v>0</v>
      </c>
      <c r="AC105" s="358">
        <f>(+'Balance Sheet'!BJ25)/1000</f>
        <v>0</v>
      </c>
      <c r="AD105" s="358">
        <f>(+'Balance Sheet'!BK25)/1000</f>
        <v>0</v>
      </c>
      <c r="AE105" s="358">
        <f>(+'Balance Sheet'!BL25)/1000</f>
        <v>0</v>
      </c>
      <c r="AF105" s="358">
        <f>SUM('Balance Sheet'!BM16:BM17)/1000</f>
        <v>0</v>
      </c>
      <c r="AG105" s="358">
        <f>SUM('Balance Sheet'!BN16:BN17)/1000</f>
        <v>0</v>
      </c>
      <c r="AH105" s="358">
        <f>SUM('Balance Sheet'!BO16:BO17)/1000</f>
        <v>0</v>
      </c>
      <c r="AI105" s="358">
        <f>SUM('Balance Sheet'!BP16:BP17)/1000</f>
        <v>0</v>
      </c>
      <c r="AJ105" s="358">
        <f>SUM('Balance Sheet'!BQ16:BQ17)/1000</f>
        <v>0</v>
      </c>
      <c r="AK105" s="358">
        <f>SUM('Balance Sheet'!BR16:BR17)/1000</f>
        <v>0</v>
      </c>
      <c r="AL105" s="358">
        <f>SUM('Balance Sheet'!BS16:BS17)/1000</f>
        <v>0</v>
      </c>
      <c r="AM105" s="358">
        <f>SUM('Balance Sheet'!BT16:BT17)/1000</f>
        <v>0</v>
      </c>
      <c r="AN105" s="358">
        <f>SUM('Balance Sheet'!BU16:BU17)/1000</f>
        <v>0</v>
      </c>
      <c r="AO105" s="358">
        <f>SUM('Balance Sheet'!BV16:BV17)/1000</f>
        <v>0</v>
      </c>
      <c r="AP105" s="358">
        <f>SUM('Balance Sheet'!BW16:BW17)/1000</f>
        <v>0</v>
      </c>
      <c r="AQ105" s="358">
        <f>SUM('Balance Sheet'!BX16:BX17)/1000</f>
        <v>0</v>
      </c>
      <c r="AR105" s="358">
        <f>SUM('Balance Sheet'!BY16:BY17)/1000</f>
        <v>16742.060977540888</v>
      </c>
      <c r="AS105" s="358">
        <f>SUM('Balance Sheet'!BZ16:BZ17)/1000</f>
        <v>14899.051549731998</v>
      </c>
      <c r="AT105" s="358">
        <f>SUM('Balance Sheet'!CA16:CA17)/1000</f>
        <v>14185.024815351037</v>
      </c>
      <c r="AU105" s="358">
        <f>SUM('Balance Sheet'!CB16:CB17)/1000</f>
        <v>14910.491025239004</v>
      </c>
      <c r="AV105" s="358">
        <f>SUM('Balance Sheet'!CC16:CC17)/1000</f>
        <v>17701.243195378353</v>
      </c>
      <c r="AW105" s="358">
        <f>SUM('Balance Sheet'!CD16:CD17)/1000</f>
        <v>16814.026992423776</v>
      </c>
      <c r="AX105" s="358">
        <f>SUM('Balance Sheet'!CE16:CE17)/1000</f>
        <v>21472.385669283147</v>
      </c>
      <c r="AY105" s="358">
        <f>SUM('Balance Sheet'!CF16:CF17)/1000</f>
        <v>10977.449687066932</v>
      </c>
      <c r="AZ105" s="358">
        <f>SUM('Balance Sheet'!CG16:CG17)/1000</f>
        <v>16480.479321492079</v>
      </c>
      <c r="BA105" s="358">
        <f>SUM('Balance Sheet'!CH16:CH17)/1000</f>
        <v>17364.122688105374</v>
      </c>
      <c r="BB105" s="358">
        <f>SUM('Balance Sheet'!CI16:CI17)/1000</f>
        <v>17914.77456530758</v>
      </c>
      <c r="BC105" s="358">
        <f>SUM('Balance Sheet'!CJ16:CJ17)/1000</f>
        <v>16331.144024977684</v>
      </c>
      <c r="BD105" s="358">
        <f>SUM('Balance Sheet'!CK16:CK17)/1000</f>
        <v>20776.496938991851</v>
      </c>
      <c r="BE105" s="358">
        <f>SUM('Balance Sheet'!CL16:CL17)/1000</f>
        <v>21735.929981297395</v>
      </c>
      <c r="BF105" s="358">
        <f>SUM('Balance Sheet'!CM16:CM17)/1000</f>
        <v>19150.9748513622</v>
      </c>
      <c r="BG105" s="359">
        <f>SUM('Balance Sheet'!CN16:CN17)/1000</f>
        <v>20332.237693371</v>
      </c>
      <c r="BH105" s="358">
        <f>SUM('Balance Sheet'!CO16:CO17)/1000</f>
        <v>22131.787950007802</v>
      </c>
      <c r="BI105" s="358">
        <f>SUM('Balance Sheet'!CP16:CP17)/1000</f>
        <v>22166.098900943933</v>
      </c>
      <c r="BJ105" s="358">
        <f>SUM('Balance Sheet'!CQ16:CQ17)/1000</f>
        <v>19645.86928422653</v>
      </c>
      <c r="BK105" s="358">
        <f>SUM('Balance Sheet'!CR16:CR17)/1000</f>
        <v>20797.969392390864</v>
      </c>
      <c r="BL105" s="358">
        <f>SUM('Balance Sheet'!CS16:CS17)/1000</f>
        <v>21676.003000000001</v>
      </c>
      <c r="BM105" s="358">
        <f>SUM('Balance Sheet'!CT16:CT17)/1000</f>
        <v>21792.048999999999</v>
      </c>
      <c r="BN105" s="358">
        <f>SUM('Balance Sheet'!CU16:CU17)/1000</f>
        <v>23406.47</v>
      </c>
      <c r="BO105" s="358">
        <f>SUM('Balance Sheet'!CV16:CV17)/1000</f>
        <v>21363.113000000001</v>
      </c>
      <c r="BP105" s="358">
        <f>SUM('Balance Sheet'!CW16:CW17)/1000</f>
        <v>23953.115000000002</v>
      </c>
      <c r="BQ105" s="358">
        <f>SUM('Balance Sheet'!CX16:CX17)/1000</f>
        <v>23417.667000000001</v>
      </c>
      <c r="BR105" s="358">
        <f>SUM('Balance Sheet'!CY16:CY17)/1000</f>
        <v>25536.316999999999</v>
      </c>
      <c r="BS105" s="358">
        <f>SUM('Balance Sheet'!CZ16:CZ17)/1000</f>
        <v>25755.044000000002</v>
      </c>
      <c r="BT105" s="357">
        <f>SUM('Balance Sheet'!DA16:DA17)/1000</f>
        <v>25967.223937166444</v>
      </c>
      <c r="BU105" s="357">
        <f>SUM('Balance Sheet'!DB16:DB17)/1000</f>
        <v>26185.185685387205</v>
      </c>
      <c r="BV105" s="357">
        <f>SUM('Balance Sheet'!DC16:DC17)/1000</f>
        <v>26392.199308736701</v>
      </c>
      <c r="BW105" s="357">
        <f>SUM('Balance Sheet'!DD16:DD17)/1000</f>
        <v>26594.40318362074</v>
      </c>
      <c r="BX105" s="357">
        <f>SUM('Balance Sheet'!DE16:DE17)/1000</f>
        <v>26798.156243797745</v>
      </c>
      <c r="BY105" s="357">
        <f>SUM('Balance Sheet'!DF16:DF17)/1000</f>
        <v>26990.365054635346</v>
      </c>
      <c r="BZ105" s="357">
        <f>SUM('Balance Sheet'!DG16:DG17)/1000</f>
        <v>27183.952476248538</v>
      </c>
      <c r="CA105" s="357">
        <f>SUM('Balance Sheet'!DH16:DH17)/1000</f>
        <v>27385.577802967349</v>
      </c>
      <c r="CB105" s="357">
        <f>SUM('Balance Sheet'!DI16:DI17)/1000</f>
        <v>27588.698599206647</v>
      </c>
      <c r="CC105" s="357">
        <f>SUM('Balance Sheet'!DJ16:DJ17)/1000</f>
        <v>27793.325956971203</v>
      </c>
      <c r="CD105" s="357">
        <f>SUM('Balance Sheet'!DK16:DK17)/1000</f>
        <v>27999.471050535984</v>
      </c>
      <c r="CE105" s="357">
        <f>SUM('Balance Sheet'!DL16:DL17)/1000</f>
        <v>28207.145137056363</v>
      </c>
      <c r="CF105" s="357">
        <f>SUM('Balance Sheet'!DM16:DM17)/1000</f>
        <v>28416.359557182837</v>
      </c>
      <c r="CG105" s="357">
        <f>SUM('Balance Sheet'!DN16:DN17)/1000</f>
        <v>28627.125735680325</v>
      </c>
      <c r="CH105" s="357">
        <f>SUM('Balance Sheet'!DO16:DO17)/1000</f>
        <v>28839.455182052054</v>
      </c>
      <c r="CI105" s="357">
        <f>SUM('Balance Sheet'!DP16:DP17)/1000</f>
        <v>29053.359491168045</v>
      </c>
      <c r="CJ105" s="357">
        <f>SUM('Balance Sheet'!DQ16:DQ17)/1000</f>
        <v>29268.85034389831</v>
      </c>
      <c r="CK105" s="357">
        <f>SUM('Balance Sheet'!DR16:DR17)/1000</f>
        <v>29485.939507750729</v>
      </c>
      <c r="CL105" s="357">
        <f>SUM('Balance Sheet'!DS16:DS17)/1000</f>
        <v>29704.638837513605</v>
      </c>
      <c r="CM105" s="357">
        <f>SUM('Balance Sheet'!DT16:DT17)/1000</f>
        <v>29924.960275903071</v>
      </c>
      <c r="CN105" s="357">
        <f>SUM('Balance Sheet'!DU16:DU17)/1000</f>
        <v>30146.915854215255</v>
      </c>
      <c r="CO105" s="357">
        <f>SUM('Balance Sheet'!DV16:DV17)/1000</f>
        <v>30370.517692983241</v>
      </c>
      <c r="CP105" s="357">
        <f>SUM('Balance Sheet'!DW16:DW17)/1000</f>
        <v>30595.778002639003</v>
      </c>
      <c r="CQ105" s="357">
        <f>SUM('Balance Sheet'!DX16:DX17)/1000</f>
        <v>30822.709084180162</v>
      </c>
    </row>
    <row r="106" spans="1:95" s="325" customFormat="1" ht="11.25" customHeight="1">
      <c r="A106" s="336" t="s">
        <v>309</v>
      </c>
      <c r="B106" s="334"/>
      <c r="C106" s="334"/>
      <c r="D106" s="334" t="e">
        <f t="shared" ref="D106:U106" si="478">+D105/C105-1</f>
        <v>#DIV/0!</v>
      </c>
      <c r="E106" s="334" t="e">
        <f t="shared" si="478"/>
        <v>#DIV/0!</v>
      </c>
      <c r="F106" s="334" t="e">
        <f t="shared" si="478"/>
        <v>#DIV/0!</v>
      </c>
      <c r="G106" s="334" t="e">
        <f t="shared" si="478"/>
        <v>#DIV/0!</v>
      </c>
      <c r="H106" s="334" t="e">
        <f t="shared" si="478"/>
        <v>#DIV/0!</v>
      </c>
      <c r="I106" s="334" t="e">
        <f t="shared" si="478"/>
        <v>#DIV/0!</v>
      </c>
      <c r="J106" s="334">
        <f t="shared" si="478"/>
        <v>-0.26377678183197384</v>
      </c>
      <c r="K106" s="334">
        <f t="shared" si="478"/>
        <v>0.48769928266837792</v>
      </c>
      <c r="L106" s="334">
        <f t="shared" si="478"/>
        <v>0.24499775779785171</v>
      </c>
      <c r="M106" s="334">
        <f t="shared" si="478"/>
        <v>2.2906071925949734E-2</v>
      </c>
      <c r="N106" s="334">
        <f t="shared" si="478"/>
        <v>2.7173018526313486E-2</v>
      </c>
      <c r="O106" s="334">
        <f t="shared" si="478"/>
        <v>0.20558478532599622</v>
      </c>
      <c r="P106" s="333">
        <f t="shared" si="478"/>
        <v>3.2590089289722846E-2</v>
      </c>
      <c r="Q106" s="333">
        <f t="shared" si="478"/>
        <v>2.9749666269400787E-2</v>
      </c>
      <c r="R106" s="333">
        <f t="shared" si="478"/>
        <v>2.9999999999999805E-2</v>
      </c>
      <c r="S106" s="333">
        <f t="shared" si="478"/>
        <v>2.9999999999999583E-2</v>
      </c>
      <c r="T106" s="333">
        <f t="shared" si="478"/>
        <v>2.9999999999999583E-2</v>
      </c>
      <c r="U106" s="333">
        <f t="shared" si="478"/>
        <v>3.0000000000000027E-2</v>
      </c>
      <c r="V106" s="323"/>
      <c r="W106" s="336" t="s">
        <v>309</v>
      </c>
      <c r="X106" s="334">
        <v>0</v>
      </c>
      <c r="Y106" s="334" t="e">
        <f t="shared" ref="Y106:BD106" si="479">+Y105/X105-1</f>
        <v>#DIV/0!</v>
      </c>
      <c r="Z106" s="334" t="e">
        <f t="shared" si="479"/>
        <v>#DIV/0!</v>
      </c>
      <c r="AA106" s="334" t="e">
        <f t="shared" si="479"/>
        <v>#DIV/0!</v>
      </c>
      <c r="AB106" s="334" t="e">
        <f t="shared" si="479"/>
        <v>#DIV/0!</v>
      </c>
      <c r="AC106" s="334" t="e">
        <f t="shared" si="479"/>
        <v>#DIV/0!</v>
      </c>
      <c r="AD106" s="334" t="e">
        <f t="shared" si="479"/>
        <v>#DIV/0!</v>
      </c>
      <c r="AE106" s="334" t="e">
        <f t="shared" si="479"/>
        <v>#DIV/0!</v>
      </c>
      <c r="AF106" s="334" t="e">
        <f t="shared" si="479"/>
        <v>#DIV/0!</v>
      </c>
      <c r="AG106" s="334" t="e">
        <f t="shared" si="479"/>
        <v>#DIV/0!</v>
      </c>
      <c r="AH106" s="334" t="e">
        <f t="shared" si="479"/>
        <v>#DIV/0!</v>
      </c>
      <c r="AI106" s="334" t="e">
        <f t="shared" si="479"/>
        <v>#DIV/0!</v>
      </c>
      <c r="AJ106" s="334" t="e">
        <f t="shared" si="479"/>
        <v>#DIV/0!</v>
      </c>
      <c r="AK106" s="334" t="e">
        <f t="shared" si="479"/>
        <v>#DIV/0!</v>
      </c>
      <c r="AL106" s="334" t="e">
        <f t="shared" si="479"/>
        <v>#DIV/0!</v>
      </c>
      <c r="AM106" s="334" t="e">
        <f t="shared" si="479"/>
        <v>#DIV/0!</v>
      </c>
      <c r="AN106" s="334" t="e">
        <f t="shared" si="479"/>
        <v>#DIV/0!</v>
      </c>
      <c r="AO106" s="334" t="e">
        <f t="shared" si="479"/>
        <v>#DIV/0!</v>
      </c>
      <c r="AP106" s="334" t="e">
        <f t="shared" si="479"/>
        <v>#DIV/0!</v>
      </c>
      <c r="AQ106" s="334" t="e">
        <f t="shared" si="479"/>
        <v>#DIV/0!</v>
      </c>
      <c r="AR106" s="334" t="e">
        <f t="shared" si="479"/>
        <v>#DIV/0!</v>
      </c>
      <c r="AS106" s="334">
        <f t="shared" si="479"/>
        <v>-0.11008258960956174</v>
      </c>
      <c r="AT106" s="334">
        <f t="shared" si="479"/>
        <v>-4.7924307933131849E-2</v>
      </c>
      <c r="AU106" s="334">
        <f t="shared" si="479"/>
        <v>5.1143104741196321E-2</v>
      </c>
      <c r="AV106" s="334">
        <f t="shared" si="479"/>
        <v>0.18716701987985762</v>
      </c>
      <c r="AW106" s="334">
        <f t="shared" si="479"/>
        <v>-5.0121688808061893E-2</v>
      </c>
      <c r="AX106" s="334">
        <f t="shared" si="479"/>
        <v>0.27705193282717921</v>
      </c>
      <c r="AY106" s="334">
        <f t="shared" si="479"/>
        <v>-0.48876432008342308</v>
      </c>
      <c r="AZ106" s="334">
        <f t="shared" si="479"/>
        <v>0.5013031069419096</v>
      </c>
      <c r="BA106" s="334">
        <f t="shared" si="479"/>
        <v>5.3617576854147808E-2</v>
      </c>
      <c r="BB106" s="334">
        <f t="shared" si="479"/>
        <v>3.1712047138402699E-2</v>
      </c>
      <c r="BC106" s="334">
        <f t="shared" si="479"/>
        <v>-8.8398016651386579E-2</v>
      </c>
      <c r="BD106" s="334">
        <f t="shared" si="479"/>
        <v>0.27220094974456277</v>
      </c>
      <c r="BE106" s="334">
        <f t="shared" ref="BE106:CI106" si="480">+BE105/BD105-1</f>
        <v>4.6178768496095701E-2</v>
      </c>
      <c r="BF106" s="334">
        <f t="shared" si="480"/>
        <v>-0.11892544428324026</v>
      </c>
      <c r="BG106" s="335">
        <f t="shared" si="480"/>
        <v>6.1681603739601742E-2</v>
      </c>
      <c r="BH106" s="334">
        <f t="shared" si="480"/>
        <v>8.850724075606875E-2</v>
      </c>
      <c r="BI106" s="334">
        <f t="shared" si="480"/>
        <v>1.5503018108449229E-3</v>
      </c>
      <c r="BJ106" s="334">
        <f t="shared" si="480"/>
        <v>-0.1136974813646654</v>
      </c>
      <c r="BK106" s="334">
        <f t="shared" si="480"/>
        <v>5.8643376452135021E-2</v>
      </c>
      <c r="BL106" s="334">
        <f t="shared" si="480"/>
        <v>4.2217275688960942E-2</v>
      </c>
      <c r="BM106" s="334">
        <f t="shared" si="480"/>
        <v>5.3536622965035807E-3</v>
      </c>
      <c r="BN106" s="334">
        <f t="shared" si="480"/>
        <v>7.4083029090105335E-2</v>
      </c>
      <c r="BO106" s="334">
        <f t="shared" si="480"/>
        <v>-8.7298810969787421E-2</v>
      </c>
      <c r="BP106" s="334">
        <f t="shared" si="480"/>
        <v>0.12123710622136397</v>
      </c>
      <c r="BQ106" s="334">
        <f t="shared" si="480"/>
        <v>-2.2354002809237938E-2</v>
      </c>
      <c r="BR106" s="334">
        <f t="shared" si="480"/>
        <v>9.0472291710356867E-2</v>
      </c>
      <c r="BS106" s="334">
        <f t="shared" si="480"/>
        <v>8.5653307013695557E-3</v>
      </c>
      <c r="BT106" s="333">
        <f t="shared" si="480"/>
        <v>8.2383837964494777E-3</v>
      </c>
      <c r="BU106" s="333">
        <f t="shared" si="480"/>
        <v>8.3937254420483054E-3</v>
      </c>
      <c r="BV106" s="333">
        <f t="shared" si="480"/>
        <v>7.9057534988198341E-3</v>
      </c>
      <c r="BW106" s="333">
        <f t="shared" si="480"/>
        <v>7.6615015110583773E-3</v>
      </c>
      <c r="BX106" s="333">
        <f t="shared" si="480"/>
        <v>7.6615015110583773E-3</v>
      </c>
      <c r="BY106" s="333">
        <f t="shared" si="480"/>
        <v>7.1724639967380988E-3</v>
      </c>
      <c r="BZ106" s="333">
        <f t="shared" si="480"/>
        <v>7.1724639967380988E-3</v>
      </c>
      <c r="CA106" s="333">
        <f t="shared" si="480"/>
        <v>7.4170717777326534E-3</v>
      </c>
      <c r="CB106" s="333">
        <f t="shared" si="480"/>
        <v>7.4170717777328754E-3</v>
      </c>
      <c r="CC106" s="333">
        <f t="shared" si="480"/>
        <v>7.4170717777328754E-3</v>
      </c>
      <c r="CD106" s="333">
        <f t="shared" si="480"/>
        <v>7.4170717777328754E-3</v>
      </c>
      <c r="CE106" s="333">
        <f t="shared" si="480"/>
        <v>7.4170717777328754E-3</v>
      </c>
      <c r="CF106" s="333">
        <f t="shared" si="480"/>
        <v>7.4170717777328754E-3</v>
      </c>
      <c r="CG106" s="333">
        <f t="shared" si="480"/>
        <v>7.4170717777328754E-3</v>
      </c>
      <c r="CH106" s="333">
        <f t="shared" si="480"/>
        <v>7.4170717777330974E-3</v>
      </c>
      <c r="CI106" s="333">
        <f t="shared" si="480"/>
        <v>7.4170717777328754E-3</v>
      </c>
      <c r="CJ106" s="333">
        <f t="shared" ref="CJ106" si="481">+CJ105/CI105-1</f>
        <v>7.4170717777326534E-3</v>
      </c>
      <c r="CK106" s="333">
        <f t="shared" ref="CK106" si="482">+CK105/CJ105-1</f>
        <v>7.4170717777330974E-3</v>
      </c>
      <c r="CL106" s="333">
        <f t="shared" ref="CL106" si="483">+CL105/CK105-1</f>
        <v>7.4170717777328754E-3</v>
      </c>
      <c r="CM106" s="333">
        <f t="shared" ref="CM106" si="484">+CM105/CL105-1</f>
        <v>7.4170717777326534E-3</v>
      </c>
      <c r="CN106" s="333">
        <f t="shared" ref="CN106" si="485">+CN105/CM105-1</f>
        <v>7.4170717777330974E-3</v>
      </c>
      <c r="CO106" s="333">
        <f t="shared" ref="CO106" si="486">+CO105/CN105-1</f>
        <v>7.4170717777328754E-3</v>
      </c>
      <c r="CP106" s="333">
        <f t="shared" ref="CP106" si="487">+CP105/CO105-1</f>
        <v>7.4170717777328754E-3</v>
      </c>
      <c r="CQ106" s="333">
        <f t="shared" ref="CQ106" si="488">+CQ105/CP105-1</f>
        <v>7.4170717777330974E-3</v>
      </c>
    </row>
    <row r="107" spans="1:95" s="325" customFormat="1" ht="11.25" customHeight="1">
      <c r="A107" s="329" t="s">
        <v>313</v>
      </c>
      <c r="B107" s="346"/>
      <c r="C107" s="346">
        <f>(+'Balance Sheet'!H37)/1000</f>
        <v>0</v>
      </c>
      <c r="D107" s="346">
        <f>(+'Balance Sheet'!I37)/1000</f>
        <v>0</v>
      </c>
      <c r="E107" s="346">
        <f>(+'Balance Sheet'!J37)/1000</f>
        <v>0</v>
      </c>
      <c r="F107" s="346">
        <f>(+'Balance Sheet'!K37)/1000</f>
        <v>0</v>
      </c>
      <c r="G107" s="346">
        <f>(+'Balance Sheet'!L37)/1000</f>
        <v>0</v>
      </c>
      <c r="H107" s="346">
        <f>(+'Balance Sheet'!M37)/1000</f>
        <v>0</v>
      </c>
      <c r="I107" s="346">
        <f>(+'Balance Sheet'!N37)/1000</f>
        <v>40737.39217096239</v>
      </c>
      <c r="J107" s="346">
        <f>(+'Balance Sheet'!O37)/1000</f>
        <v>50801.637194415736</v>
      </c>
      <c r="K107" s="346">
        <f>(+'Balance Sheet'!P37)/1000</f>
        <v>51190.929644302647</v>
      </c>
      <c r="L107" s="346">
        <f>(+'Balance Sheet'!Q37)/1000</f>
        <v>61329.487373456985</v>
      </c>
      <c r="M107" s="346">
        <f>(+'Balance Sheet'!R37)/1000</f>
        <v>68431.226303884599</v>
      </c>
      <c r="N107" s="346">
        <f>(+'Balance Sheet'!S37)/1000</f>
        <v>77160.494000000006</v>
      </c>
      <c r="O107" s="346">
        <f>(+'Balance Sheet'!T37)/1000</f>
        <v>90593.301999999996</v>
      </c>
      <c r="P107" s="345">
        <f ca="1">(+'Balance Sheet'!U37)/1000</f>
        <v>104187.80102865255</v>
      </c>
      <c r="Q107" s="345">
        <f ca="1">(+'Balance Sheet'!V37)/1000</f>
        <v>115202.52500197769</v>
      </c>
      <c r="R107" s="345">
        <f ca="1">(+'Balance Sheet'!W37)/1000</f>
        <v>126331.295991123</v>
      </c>
      <c r="S107" s="345">
        <f ca="1">(+'Balance Sheet'!X37)/1000</f>
        <v>138870.9830379558</v>
      </c>
      <c r="T107" s="345">
        <f ca="1">(+'Balance Sheet'!Y37)/1000</f>
        <v>153717.82525858688</v>
      </c>
      <c r="U107" s="345">
        <f ca="1">(+'Balance Sheet'!Z37)/1000</f>
        <v>171192.38678650881</v>
      </c>
      <c r="V107" s="323"/>
      <c r="W107" s="329" t="s">
        <v>313</v>
      </c>
      <c r="X107" s="358">
        <f>(+'Balance Sheet'!BE37)/1000</f>
        <v>0</v>
      </c>
      <c r="Y107" s="358">
        <f>(+'Balance Sheet'!BF37)/1000</f>
        <v>0</v>
      </c>
      <c r="Z107" s="358">
        <f>(+'Balance Sheet'!BG37)/1000</f>
        <v>0</v>
      </c>
      <c r="AA107" s="358">
        <f>(+'Balance Sheet'!BH37)/1000</f>
        <v>0</v>
      </c>
      <c r="AB107" s="358">
        <f>(+'Balance Sheet'!BI37)/1000</f>
        <v>0</v>
      </c>
      <c r="AC107" s="358">
        <f>(+'Balance Sheet'!BJ37)/1000</f>
        <v>0</v>
      </c>
      <c r="AD107" s="358">
        <f>(+'Balance Sheet'!BK37)/1000</f>
        <v>0</v>
      </c>
      <c r="AE107" s="358">
        <f>(+'Balance Sheet'!BL37)/1000</f>
        <v>0</v>
      </c>
      <c r="AF107" s="358">
        <f>(+'Balance Sheet'!BM37)/1000</f>
        <v>0</v>
      </c>
      <c r="AG107" s="358">
        <f>(+'Balance Sheet'!BN37)/1000</f>
        <v>0</v>
      </c>
      <c r="AH107" s="358">
        <f>(+'Balance Sheet'!BO37)/1000</f>
        <v>0</v>
      </c>
      <c r="AI107" s="358">
        <f>(+'Balance Sheet'!BP37)/1000</f>
        <v>0</v>
      </c>
      <c r="AJ107" s="358">
        <f>(+'Balance Sheet'!BQ37)/1000</f>
        <v>0</v>
      </c>
      <c r="AK107" s="358">
        <f>(+'Balance Sheet'!BR37)/1000</f>
        <v>0</v>
      </c>
      <c r="AL107" s="358">
        <f>(+'Balance Sheet'!BS37)/1000</f>
        <v>0</v>
      </c>
      <c r="AM107" s="358">
        <f>(+'Balance Sheet'!BT37)/1000</f>
        <v>0</v>
      </c>
      <c r="AN107" s="358">
        <f>(+'Balance Sheet'!BU37)/1000</f>
        <v>0</v>
      </c>
      <c r="AO107" s="358">
        <f>(+'Balance Sheet'!BV37)/1000</f>
        <v>0</v>
      </c>
      <c r="AP107" s="358">
        <f>(+'Balance Sheet'!BW37)/1000</f>
        <v>0</v>
      </c>
      <c r="AQ107" s="358">
        <f>(+'Balance Sheet'!BX37)/1000</f>
        <v>0</v>
      </c>
      <c r="AR107" s="358">
        <f>(+'Balance Sheet'!BY37)/1000</f>
        <v>42129.15772593936</v>
      </c>
      <c r="AS107" s="358">
        <f>(+'Balance Sheet'!BZ37)/1000</f>
        <v>41261.198273705901</v>
      </c>
      <c r="AT107" s="358">
        <f>(+'Balance Sheet'!CA37)/1000</f>
        <v>39430.874383205759</v>
      </c>
      <c r="AU107" s="358">
        <f>(+'Balance Sheet'!CB37)/1000</f>
        <v>40737.39217096239</v>
      </c>
      <c r="AV107" s="358">
        <f>(+'Balance Sheet'!CC37)/1000</f>
        <v>42065.720269576988</v>
      </c>
      <c r="AW107" s="358">
        <f>(+'Balance Sheet'!CD37)/1000</f>
        <v>43116.40034759538</v>
      </c>
      <c r="AX107" s="358">
        <f>(+'Balance Sheet'!CE37)/1000</f>
        <v>46409.148380285813</v>
      </c>
      <c r="AY107" s="358">
        <f>(+'Balance Sheet'!CF37)/1000</f>
        <v>50801.637194415736</v>
      </c>
      <c r="AZ107" s="358">
        <f>(+'Balance Sheet'!CG37)/1000</f>
        <v>50693.000954129791</v>
      </c>
      <c r="BA107" s="358">
        <f>(+'Balance Sheet'!CH37)/1000</f>
        <v>50967.593933882905</v>
      </c>
      <c r="BB107" s="358">
        <f>(+'Balance Sheet'!CI37)/1000</f>
        <v>50099.489475127455</v>
      </c>
      <c r="BC107" s="358">
        <f>(+'Balance Sheet'!CJ37)/1000</f>
        <v>51190.929644302647</v>
      </c>
      <c r="BD107" s="358">
        <f>(+'Balance Sheet'!CK37)/1000</f>
        <v>56491.604860436535</v>
      </c>
      <c r="BE107" s="358">
        <f>(+'Balance Sheet'!CL37)/1000</f>
        <v>58010.741359923784</v>
      </c>
      <c r="BF107" s="358">
        <f>(+'Balance Sheet'!CM37)/1000</f>
        <v>57279.281502303362</v>
      </c>
      <c r="BG107" s="359">
        <f>(+'Balance Sheet'!CN37)/1000</f>
        <v>61329.487373456985</v>
      </c>
      <c r="BH107" s="358">
        <f>(+'Balance Sheet'!CO37)/1000</f>
        <v>65511.019479843497</v>
      </c>
      <c r="BI107" s="358">
        <f>(+'Balance Sheet'!CP37)/1000</f>
        <v>65559.145954409381</v>
      </c>
      <c r="BJ107" s="358">
        <f>(+'Balance Sheet'!CQ37)/1000</f>
        <v>66845.892458520408</v>
      </c>
      <c r="BK107" s="358">
        <f>(+'Balance Sheet'!CR37)/1000</f>
        <v>68431.226303884599</v>
      </c>
      <c r="BL107" s="358">
        <f>(+'Balance Sheet'!CS37)/1000</f>
        <v>74533.532999999996</v>
      </c>
      <c r="BM107" s="358">
        <f>(+'Balance Sheet'!CT37)/1000</f>
        <v>75611.06</v>
      </c>
      <c r="BN107" s="358">
        <f>(+'Balance Sheet'!CU37)/1000</f>
        <v>74863.615000000005</v>
      </c>
      <c r="BO107" s="358">
        <f>(+'Balance Sheet'!CV37)/1000</f>
        <v>77160.494000000006</v>
      </c>
      <c r="BP107" s="358">
        <f>(+'Balance Sheet'!CW37)/1000</f>
        <v>79142.903000000006</v>
      </c>
      <c r="BQ107" s="358">
        <f>(+'Balance Sheet'!CX37)/1000</f>
        <v>80910.623000000007</v>
      </c>
      <c r="BR107" s="358">
        <f>(+'Balance Sheet'!CY37)/1000</f>
        <v>86426.706999999995</v>
      </c>
      <c r="BS107" s="358">
        <f>(+'Balance Sheet'!CZ37)/1000</f>
        <v>90593.301999999996</v>
      </c>
      <c r="BT107" s="357">
        <f ca="1">(+'Balance Sheet'!DA37)/1000</f>
        <v>103224.12779343725</v>
      </c>
      <c r="BU107" s="357">
        <f ca="1">(+'Balance Sheet'!DB37)/1000</f>
        <v>100172.61808766468</v>
      </c>
      <c r="BV107" s="357">
        <f ca="1">(+'Balance Sheet'!DC37)/1000</f>
        <v>105770.13313546093</v>
      </c>
      <c r="BW107" s="357">
        <f ca="1">(+'Balance Sheet'!DD37)/1000</f>
        <v>104187.80102865255</v>
      </c>
      <c r="BX107" s="357">
        <f ca="1">(+'Balance Sheet'!DE37)/1000</f>
        <v>111010.02628508369</v>
      </c>
      <c r="BY107" s="357">
        <f ca="1">(+'Balance Sheet'!DF37)/1000</f>
        <v>110178.62754686004</v>
      </c>
      <c r="BZ107" s="357">
        <f ca="1">(+'Balance Sheet'!DG37)/1000</f>
        <v>116162.64702183071</v>
      </c>
      <c r="CA107" s="357">
        <f ca="1">(+'Balance Sheet'!DH37)/1000</f>
        <v>115202.52500197769</v>
      </c>
      <c r="CB107" s="357">
        <f ca="1">(+'Balance Sheet'!DI37)/1000</f>
        <v>121722.19439419173</v>
      </c>
      <c r="CC107" s="357">
        <f ca="1">(+'Balance Sheet'!DJ37)/1000</f>
        <v>121321.81123275834</v>
      </c>
      <c r="CD107" s="357">
        <f ca="1">(+'Balance Sheet'!DK37)/1000</f>
        <v>126790.09029381879</v>
      </c>
      <c r="CE107" s="357">
        <f ca="1">(+'Balance Sheet'!DL37)/1000</f>
        <v>126331.295991123</v>
      </c>
      <c r="CF107" s="357">
        <f ca="1">(+'Balance Sheet'!DM37)/1000</f>
        <v>132778.52429490144</v>
      </c>
      <c r="CG107" s="357">
        <f ca="1">(+'Balance Sheet'!DN37)/1000</f>
        <v>133180.10510629963</v>
      </c>
      <c r="CH107" s="357">
        <f ca="1">(+'Balance Sheet'!DO37)/1000</f>
        <v>138387.98762372852</v>
      </c>
      <c r="CI107" s="357">
        <f ca="1">(+'Balance Sheet'!DP37)/1000</f>
        <v>138870.9830379558</v>
      </c>
      <c r="CJ107" s="357">
        <f ca="1">(+'Balance Sheet'!DQ37)/1000</f>
        <v>145195.98567562204</v>
      </c>
      <c r="CK107" s="357">
        <f ca="1">(+'Balance Sheet'!DR37)/1000</f>
        <v>146696.02839356271</v>
      </c>
      <c r="CL107" s="357">
        <f ca="1">(+'Balance Sheet'!DS37)/1000</f>
        <v>151411.33254617086</v>
      </c>
      <c r="CM107" s="357">
        <f ca="1">(+'Balance Sheet'!DT37)/1000</f>
        <v>153717.82525858688</v>
      </c>
      <c r="CN107" s="357">
        <f ca="1">(+'Balance Sheet'!DU37)/1000</f>
        <v>159456.04294634055</v>
      </c>
      <c r="CO107" s="357">
        <f ca="1">(+'Balance Sheet'!DV37)/1000</f>
        <v>162957.8464402486</v>
      </c>
      <c r="CP107" s="357">
        <f ca="1">(+'Balance Sheet'!DW37)/1000</f>
        <v>166865.53302174681</v>
      </c>
      <c r="CQ107" s="357">
        <f ca="1">(+'Balance Sheet'!DX37)/1000</f>
        <v>171192.38678650881</v>
      </c>
    </row>
    <row r="108" spans="1:95" s="325" customFormat="1" ht="11.25" customHeight="1">
      <c r="A108" s="336" t="s">
        <v>309</v>
      </c>
      <c r="B108" s="334"/>
      <c r="C108" s="334"/>
      <c r="D108" s="334" t="e">
        <f t="shared" ref="D108:U108" si="489">+D107/C107-1</f>
        <v>#DIV/0!</v>
      </c>
      <c r="E108" s="334" t="e">
        <f t="shared" si="489"/>
        <v>#DIV/0!</v>
      </c>
      <c r="F108" s="334" t="e">
        <f t="shared" si="489"/>
        <v>#DIV/0!</v>
      </c>
      <c r="G108" s="334" t="e">
        <f t="shared" si="489"/>
        <v>#DIV/0!</v>
      </c>
      <c r="H108" s="334" t="e">
        <f t="shared" si="489"/>
        <v>#DIV/0!</v>
      </c>
      <c r="I108" s="334" t="e">
        <f t="shared" si="489"/>
        <v>#DIV/0!</v>
      </c>
      <c r="J108" s="334">
        <f t="shared" si="489"/>
        <v>0.24705177447826765</v>
      </c>
      <c r="K108" s="334">
        <f t="shared" si="489"/>
        <v>7.6629902378362313E-3</v>
      </c>
      <c r="L108" s="334">
        <f t="shared" si="489"/>
        <v>0.19805379194325146</v>
      </c>
      <c r="M108" s="334">
        <f t="shared" si="489"/>
        <v>0.11579648281066834</v>
      </c>
      <c r="N108" s="334">
        <f t="shared" si="489"/>
        <v>0.12756263722866934</v>
      </c>
      <c r="O108" s="334">
        <f t="shared" si="489"/>
        <v>0.17408919129003997</v>
      </c>
      <c r="P108" s="333">
        <f t="shared" ca="1" si="489"/>
        <v>0.15006075204823155</v>
      </c>
      <c r="Q108" s="333">
        <f t="shared" ca="1" si="489"/>
        <v>0.10571990064648729</v>
      </c>
      <c r="R108" s="333">
        <f t="shared" ca="1" si="489"/>
        <v>9.6601797477566365E-2</v>
      </c>
      <c r="S108" s="333">
        <f t="shared" ca="1" si="489"/>
        <v>9.92603372620664E-2</v>
      </c>
      <c r="T108" s="333">
        <f t="shared" ca="1" si="489"/>
        <v>0.10691104718811695</v>
      </c>
      <c r="U108" s="333">
        <f t="shared" ca="1" si="489"/>
        <v>0.11367947405270606</v>
      </c>
      <c r="V108" s="323"/>
      <c r="W108" s="336" t="s">
        <v>309</v>
      </c>
      <c r="X108" s="334">
        <v>0</v>
      </c>
      <c r="Y108" s="334" t="e">
        <f t="shared" ref="Y108:BD108" si="490">+Y107/X107-1</f>
        <v>#DIV/0!</v>
      </c>
      <c r="Z108" s="334" t="e">
        <f t="shared" si="490"/>
        <v>#DIV/0!</v>
      </c>
      <c r="AA108" s="334" t="e">
        <f t="shared" si="490"/>
        <v>#DIV/0!</v>
      </c>
      <c r="AB108" s="334" t="e">
        <f t="shared" si="490"/>
        <v>#DIV/0!</v>
      </c>
      <c r="AC108" s="334" t="e">
        <f t="shared" si="490"/>
        <v>#DIV/0!</v>
      </c>
      <c r="AD108" s="334" t="e">
        <f t="shared" si="490"/>
        <v>#DIV/0!</v>
      </c>
      <c r="AE108" s="334" t="e">
        <f t="shared" si="490"/>
        <v>#DIV/0!</v>
      </c>
      <c r="AF108" s="334" t="e">
        <f t="shared" si="490"/>
        <v>#DIV/0!</v>
      </c>
      <c r="AG108" s="334" t="e">
        <f t="shared" si="490"/>
        <v>#DIV/0!</v>
      </c>
      <c r="AH108" s="334" t="e">
        <f t="shared" si="490"/>
        <v>#DIV/0!</v>
      </c>
      <c r="AI108" s="334" t="e">
        <f t="shared" si="490"/>
        <v>#DIV/0!</v>
      </c>
      <c r="AJ108" s="334" t="e">
        <f t="shared" si="490"/>
        <v>#DIV/0!</v>
      </c>
      <c r="AK108" s="334" t="e">
        <f t="shared" si="490"/>
        <v>#DIV/0!</v>
      </c>
      <c r="AL108" s="334" t="e">
        <f t="shared" si="490"/>
        <v>#DIV/0!</v>
      </c>
      <c r="AM108" s="334" t="e">
        <f t="shared" si="490"/>
        <v>#DIV/0!</v>
      </c>
      <c r="AN108" s="334" t="e">
        <f t="shared" si="490"/>
        <v>#DIV/0!</v>
      </c>
      <c r="AO108" s="334" t="e">
        <f t="shared" si="490"/>
        <v>#DIV/0!</v>
      </c>
      <c r="AP108" s="334" t="e">
        <f t="shared" si="490"/>
        <v>#DIV/0!</v>
      </c>
      <c r="AQ108" s="334" t="e">
        <f t="shared" si="490"/>
        <v>#DIV/0!</v>
      </c>
      <c r="AR108" s="334" t="e">
        <f t="shared" si="490"/>
        <v>#DIV/0!</v>
      </c>
      <c r="AS108" s="334">
        <f t="shared" si="490"/>
        <v>-2.0602345242213271E-2</v>
      </c>
      <c r="AT108" s="334">
        <f t="shared" si="490"/>
        <v>-4.4359445849310952E-2</v>
      </c>
      <c r="AU108" s="334">
        <f t="shared" si="490"/>
        <v>3.3134385381854425E-2</v>
      </c>
      <c r="AV108" s="334">
        <f t="shared" si="490"/>
        <v>3.2607097013967135E-2</v>
      </c>
      <c r="AW108" s="334">
        <f t="shared" si="490"/>
        <v>2.4977108944887583E-2</v>
      </c>
      <c r="AX108" s="334">
        <f t="shared" si="490"/>
        <v>7.6368806443603665E-2</v>
      </c>
      <c r="AY108" s="334">
        <f t="shared" si="490"/>
        <v>9.4647046270640356E-2</v>
      </c>
      <c r="AZ108" s="334">
        <f t="shared" si="490"/>
        <v>-2.1384397489041529E-3</v>
      </c>
      <c r="BA108" s="334">
        <f t="shared" si="490"/>
        <v>5.4167828809656982E-3</v>
      </c>
      <c r="BB108" s="334">
        <f t="shared" si="490"/>
        <v>-1.7032478713466248E-2</v>
      </c>
      <c r="BC108" s="334">
        <f t="shared" si="490"/>
        <v>2.178545491400774E-2</v>
      </c>
      <c r="BD108" s="334">
        <f t="shared" si="490"/>
        <v>0.10354715675150539</v>
      </c>
      <c r="BE108" s="334">
        <f t="shared" ref="BE108:CI108" si="491">+BE107/BD107-1</f>
        <v>2.6891367367599228E-2</v>
      </c>
      <c r="BF108" s="334">
        <f t="shared" si="491"/>
        <v>-1.2609041713191105E-2</v>
      </c>
      <c r="BG108" s="335">
        <f t="shared" si="491"/>
        <v>7.0709788337529167E-2</v>
      </c>
      <c r="BH108" s="334">
        <f t="shared" si="491"/>
        <v>6.818142928414983E-2</v>
      </c>
      <c r="BI108" s="334">
        <f t="shared" si="491"/>
        <v>7.3463174513244134E-4</v>
      </c>
      <c r="BJ108" s="334">
        <f t="shared" si="491"/>
        <v>1.9627261541903529E-2</v>
      </c>
      <c r="BK108" s="334">
        <f t="shared" si="491"/>
        <v>2.3716249227249575E-2</v>
      </c>
      <c r="BL108" s="334">
        <f t="shared" si="491"/>
        <v>8.9174299887842201E-2</v>
      </c>
      <c r="BM108" s="334">
        <f t="shared" si="491"/>
        <v>1.4456942487886648E-2</v>
      </c>
      <c r="BN108" s="334">
        <f t="shared" si="491"/>
        <v>-9.885392428038875E-3</v>
      </c>
      <c r="BO108" s="334">
        <f t="shared" si="491"/>
        <v>3.0680845428049386E-2</v>
      </c>
      <c r="BP108" s="334">
        <f t="shared" si="491"/>
        <v>2.5692020582449793E-2</v>
      </c>
      <c r="BQ108" s="334">
        <f t="shared" si="491"/>
        <v>2.2335799332506179E-2</v>
      </c>
      <c r="BR108" s="334">
        <f t="shared" si="491"/>
        <v>6.8175028141854499E-2</v>
      </c>
      <c r="BS108" s="334">
        <f t="shared" si="491"/>
        <v>4.8209577162300121E-2</v>
      </c>
      <c r="BT108" s="333">
        <f t="shared" ca="1" si="491"/>
        <v>0.13942339571017359</v>
      </c>
      <c r="BU108" s="333">
        <f t="shared" ca="1" si="491"/>
        <v>-2.956198101163876E-2</v>
      </c>
      <c r="BV108" s="333">
        <f t="shared" ca="1" si="491"/>
        <v>5.5878693745407215E-2</v>
      </c>
      <c r="BW108" s="333">
        <f t="shared" ca="1" si="491"/>
        <v>-1.4960103196446473E-2</v>
      </c>
      <c r="BX108" s="333">
        <f t="shared" ca="1" si="491"/>
        <v>6.5480077217053179E-2</v>
      </c>
      <c r="BY108" s="333">
        <f t="shared" ca="1" si="491"/>
        <v>-7.4894022283045203E-3</v>
      </c>
      <c r="BZ108" s="333">
        <f t="shared" ca="1" si="491"/>
        <v>5.4311980537474103E-2</v>
      </c>
      <c r="CA108" s="333">
        <f t="shared" ca="1" si="491"/>
        <v>-8.2653249083811664E-3</v>
      </c>
      <c r="CB108" s="333">
        <f t="shared" ca="1" si="491"/>
        <v>5.6593111931375839E-2</v>
      </c>
      <c r="CC108" s="333">
        <f t="shared" ca="1" si="491"/>
        <v>-3.2893192850004249E-3</v>
      </c>
      <c r="CD108" s="333">
        <f t="shared" ca="1" si="491"/>
        <v>4.5072514212382231E-2</v>
      </c>
      <c r="CE108" s="333">
        <f t="shared" ca="1" si="491"/>
        <v>-3.6185343951771198E-3</v>
      </c>
      <c r="CF108" s="333">
        <f t="shared" ca="1" si="491"/>
        <v>5.1034292438759232E-2</v>
      </c>
      <c r="CG108" s="333">
        <f t="shared" ca="1" si="491"/>
        <v>3.0244409894650826E-3</v>
      </c>
      <c r="CH108" s="333">
        <f t="shared" ca="1" si="491"/>
        <v>3.9104057721475405E-2</v>
      </c>
      <c r="CI108" s="333">
        <f t="shared" ca="1" si="491"/>
        <v>3.4901541854956974E-3</v>
      </c>
      <c r="CJ108" s="333">
        <f t="shared" ref="CJ108" ca="1" si="492">+CJ107/CI107-1</f>
        <v>4.554589086431049E-2</v>
      </c>
      <c r="CK108" s="333">
        <f t="shared" ref="CK108" ca="1" si="493">+CK107/CJ107-1</f>
        <v>1.0331158337199886E-2</v>
      </c>
      <c r="CL108" s="333">
        <f t="shared" ref="CL108" ca="1" si="494">+CL107/CK107-1</f>
        <v>3.2143366144567365E-2</v>
      </c>
      <c r="CM108" s="333">
        <f t="shared" ref="CM108" ca="1" si="495">+CM107/CL107-1</f>
        <v>1.5233289831279251E-2</v>
      </c>
      <c r="CN108" s="333">
        <f t="shared" ref="CN108" ca="1" si="496">+CN107/CM107-1</f>
        <v>3.7329552887576556E-2</v>
      </c>
      <c r="CO108" s="333">
        <f t="shared" ref="CO108" ca="1" si="497">+CO107/CN107-1</f>
        <v>2.1960933114880232E-2</v>
      </c>
      <c r="CP108" s="333">
        <f t="shared" ref="CP108" ca="1" si="498">+CP107/CO107-1</f>
        <v>2.3979738729126066E-2</v>
      </c>
      <c r="CQ108" s="333">
        <f t="shared" ref="CQ108" ca="1" si="499">+CQ107/CP107-1</f>
        <v>2.5930182743000074E-2</v>
      </c>
    </row>
    <row r="109" spans="1:95" s="325" customFormat="1" ht="11.25" customHeight="1">
      <c r="A109" s="329" t="s">
        <v>189</v>
      </c>
      <c r="B109" s="346"/>
      <c r="C109" s="346">
        <f>(+'Balance Sheet'!H48)/1000</f>
        <v>0</v>
      </c>
      <c r="D109" s="346">
        <f>(+'Balance Sheet'!I48)/1000</f>
        <v>0</v>
      </c>
      <c r="E109" s="346">
        <f>(+'Balance Sheet'!J48)/1000</f>
        <v>0</v>
      </c>
      <c r="F109" s="346">
        <f>(+'Balance Sheet'!K48)/1000</f>
        <v>0</v>
      </c>
      <c r="G109" s="346">
        <f>(+'Balance Sheet'!L48)/1000</f>
        <v>0</v>
      </c>
      <c r="H109" s="346">
        <f>(+'Balance Sheet'!M48)/1000</f>
        <v>0</v>
      </c>
      <c r="I109" s="346">
        <f>(+'Balance Sheet'!N48)/1000</f>
        <v>56786.423964138303</v>
      </c>
      <c r="J109" s="346">
        <f>(+'Balance Sheet'!O48)/1000</f>
        <v>71876.11064786723</v>
      </c>
      <c r="K109" s="346">
        <f>(+'Balance Sheet'!P48)/1000</f>
        <v>74068.885224007448</v>
      </c>
      <c r="L109" s="346">
        <f>(+'Balance Sheet'!Q48)/1000</f>
        <v>93744.001597252485</v>
      </c>
      <c r="M109" s="346">
        <f>(+'Balance Sheet'!R48)/1000</f>
        <v>102200.3605888067</v>
      </c>
      <c r="N109" s="346">
        <f>(+'Balance Sheet'!S48)/1000</f>
        <v>120825.387</v>
      </c>
      <c r="O109" s="346">
        <f>(+'Balance Sheet'!T48)/1000</f>
        <v>138971.967</v>
      </c>
      <c r="P109" s="345">
        <f ca="1">(+'Balance Sheet'!U48)/1000</f>
        <v>152639.42783847117</v>
      </c>
      <c r="Q109" s="345">
        <f ca="1">(+'Balance Sheet'!V48)/1000</f>
        <v>165366.55623445043</v>
      </c>
      <c r="R109" s="345">
        <f ca="1">(+'Balance Sheet'!W48)/1000</f>
        <v>178309.38207742776</v>
      </c>
      <c r="S109" s="345">
        <f ca="1">(+'Balance Sheet'!X48)/1000</f>
        <v>192761.83012438967</v>
      </c>
      <c r="T109" s="345">
        <f ca="1">(+'Balance Sheet'!Y48)/1000</f>
        <v>209629.43051291126</v>
      </c>
      <c r="U109" s="345">
        <f ca="1">(+'Balance Sheet'!Z48)/1000</f>
        <v>229243.21967845046</v>
      </c>
      <c r="V109" s="323"/>
      <c r="W109" s="329" t="s">
        <v>189</v>
      </c>
      <c r="X109" s="358">
        <f>(+'Balance Sheet'!BE48)/1000</f>
        <v>0</v>
      </c>
      <c r="Y109" s="358">
        <f>(+'Balance Sheet'!BF48)/1000</f>
        <v>0</v>
      </c>
      <c r="Z109" s="358">
        <f>(+'Balance Sheet'!BG48)/1000</f>
        <v>0</v>
      </c>
      <c r="AA109" s="358">
        <f>(+'Balance Sheet'!BH48)/1000</f>
        <v>0</v>
      </c>
      <c r="AB109" s="358">
        <f>(+'Balance Sheet'!BI48)/1000</f>
        <v>0</v>
      </c>
      <c r="AC109" s="358">
        <f>(+'Balance Sheet'!BJ48)/1000</f>
        <v>0</v>
      </c>
      <c r="AD109" s="358">
        <f>(+'Balance Sheet'!BK48)/1000</f>
        <v>0</v>
      </c>
      <c r="AE109" s="358">
        <f>(+'Balance Sheet'!BL48)/1000</f>
        <v>0</v>
      </c>
      <c r="AF109" s="358">
        <f>(+'Balance Sheet'!BM48)/1000</f>
        <v>0</v>
      </c>
      <c r="AG109" s="358">
        <f>(+'Balance Sheet'!BN48)/1000</f>
        <v>0</v>
      </c>
      <c r="AH109" s="358">
        <f>(+'Balance Sheet'!BO48)/1000</f>
        <v>0</v>
      </c>
      <c r="AI109" s="358">
        <f>(+'Balance Sheet'!BP48)/1000</f>
        <v>0</v>
      </c>
      <c r="AJ109" s="358">
        <f>(+'Balance Sheet'!BQ48)/1000</f>
        <v>0</v>
      </c>
      <c r="AK109" s="358">
        <f>(+'Balance Sheet'!BR48)/1000</f>
        <v>0</v>
      </c>
      <c r="AL109" s="358">
        <f>(+'Balance Sheet'!BS48)/1000</f>
        <v>0</v>
      </c>
      <c r="AM109" s="358">
        <f>(+'Balance Sheet'!BT48)/1000</f>
        <v>0</v>
      </c>
      <c r="AN109" s="358">
        <f>(+'Balance Sheet'!BU48)/1000</f>
        <v>0</v>
      </c>
      <c r="AO109" s="358">
        <f>(+'Balance Sheet'!BV48)/1000</f>
        <v>0</v>
      </c>
      <c r="AP109" s="358">
        <f>(+'Balance Sheet'!BW48)/1000</f>
        <v>0</v>
      </c>
      <c r="AQ109" s="358">
        <f>(+'Balance Sheet'!BX48)/1000</f>
        <v>0</v>
      </c>
      <c r="AR109" s="358">
        <f>(+'Balance Sheet'!BY48)/1000</f>
        <v>60991.417471575442</v>
      </c>
      <c r="AS109" s="358">
        <f>(+'Balance Sheet'!BZ48)/1000</f>
        <v>56670.686274621294</v>
      </c>
      <c r="AT109" s="358">
        <f>(+'Balance Sheet'!CA48)/1000</f>
        <v>53269.460199217356</v>
      </c>
      <c r="AU109" s="358">
        <f>(+'Balance Sheet'!CB48)/1000</f>
        <v>56786.423964138303</v>
      </c>
      <c r="AV109" s="358">
        <f>(+'Balance Sheet'!CC48)/1000</f>
        <v>59704.902951408418</v>
      </c>
      <c r="AW109" s="358">
        <f>(+'Balance Sheet'!CD48)/1000</f>
        <v>59915.118314639622</v>
      </c>
      <c r="AX109" s="358">
        <f>(+'Balance Sheet'!CE48)/1000</f>
        <v>65996.751178102088</v>
      </c>
      <c r="AY109" s="358">
        <f>(+'Balance Sheet'!CF48)/1000</f>
        <v>71876.11064786723</v>
      </c>
      <c r="AZ109" s="358">
        <f>(+'Balance Sheet'!CG48)/1000</f>
        <v>74252.913576860665</v>
      </c>
      <c r="BA109" s="358">
        <f>(+'Balance Sheet'!CH48)/1000</f>
        <v>73218.884682948978</v>
      </c>
      <c r="BB109" s="358">
        <f>(+'Balance Sheet'!CI48)/1000</f>
        <v>73492.555683269937</v>
      </c>
      <c r="BC109" s="358">
        <f>(+'Balance Sheet'!CJ48)/1000</f>
        <v>74068.885224007448</v>
      </c>
      <c r="BD109" s="358">
        <f>(+'Balance Sheet'!CK48)/1000</f>
        <v>81588.725868904105</v>
      </c>
      <c r="BE109" s="358">
        <f>(+'Balance Sheet'!CL48)/1000</f>
        <v>83594.756238858012</v>
      </c>
      <c r="BF109" s="358">
        <f>(+'Balance Sheet'!CM48)/1000</f>
        <v>87202.103716347439</v>
      </c>
      <c r="BG109" s="359">
        <f>(+'Balance Sheet'!CN48)/1000</f>
        <v>93744.001597252485</v>
      </c>
      <c r="BH109" s="358">
        <f>(+'Balance Sheet'!CO48)/1000</f>
        <v>98895.454635350994</v>
      </c>
      <c r="BI109" s="358">
        <f>(+'Balance Sheet'!CP48)/1000</f>
        <v>99536.707315127118</v>
      </c>
      <c r="BJ109" s="358">
        <f>(+'Balance Sheet'!CQ48)/1000</f>
        <v>99922.710058196128</v>
      </c>
      <c r="BK109" s="358">
        <f>(+'Balance Sheet'!CR48)/1000</f>
        <v>102200.3605888067</v>
      </c>
      <c r="BL109" s="358">
        <f>(+'Balance Sheet'!CS48)/1000</f>
        <v>111185.18799999999</v>
      </c>
      <c r="BM109" s="358">
        <f>(+'Balance Sheet'!CT48)/1000</f>
        <v>113507.906</v>
      </c>
      <c r="BN109" s="358">
        <f>(+'Balance Sheet'!CU48)/1000</f>
        <v>118574.16800000001</v>
      </c>
      <c r="BO109" s="358">
        <f>(+'Balance Sheet'!CV48)/1000</f>
        <v>120825.387</v>
      </c>
      <c r="BP109" s="358">
        <f>(+'Balance Sheet'!CW48)/1000</f>
        <v>126055.232</v>
      </c>
      <c r="BQ109" s="358">
        <f>(+'Balance Sheet'!CX48)/1000</f>
        <v>127833.74800000001</v>
      </c>
      <c r="BR109" s="358">
        <f>(+'Balance Sheet'!CY48)/1000</f>
        <v>137054.522</v>
      </c>
      <c r="BS109" s="358">
        <f>(+'Balance Sheet'!CZ48)/1000</f>
        <v>138971.967</v>
      </c>
      <c r="BT109" s="357">
        <f ca="1">(+'Balance Sheet'!DA48)/1000</f>
        <v>149167.28019150847</v>
      </c>
      <c r="BU109" s="357">
        <f ca="1">(+'Balance Sheet'!DB48)/1000</f>
        <v>147417.29293506735</v>
      </c>
      <c r="BV109" s="357">
        <f ca="1">(+'Balance Sheet'!DC48)/1000</f>
        <v>153805.55936912089</v>
      </c>
      <c r="BW109" s="357">
        <f ca="1">(+'Balance Sheet'!DD48)/1000</f>
        <v>152639.42783847117</v>
      </c>
      <c r="BX109" s="357">
        <f ca="1">(+'Balance Sheet'!DE48)/1000</f>
        <v>159895.07842796639</v>
      </c>
      <c r="BY109" s="357">
        <f ca="1">(+'Balance Sheet'!DF48)/1000</f>
        <v>159482.24552962978</v>
      </c>
      <c r="BZ109" s="357">
        <f ca="1">(+'Balance Sheet'!DG48)/1000</f>
        <v>165888.24311450869</v>
      </c>
      <c r="CA109" s="357">
        <f ca="1">(+'Balance Sheet'!DH48)/1000</f>
        <v>165366.55623445043</v>
      </c>
      <c r="CB109" s="357">
        <f ca="1">(+'Balance Sheet'!DI48)/1000</f>
        <v>172330.08941722332</v>
      </c>
      <c r="CC109" s="357">
        <f ca="1">(+'Balance Sheet'!DJ48)/1000</f>
        <v>172382.05607507605</v>
      </c>
      <c r="CD109" s="357">
        <f ca="1">(+'Balance Sheet'!DK48)/1000</f>
        <v>178306.4842247256</v>
      </c>
      <c r="CE109" s="357">
        <f ca="1">(+'Balance Sheet'!DL48)/1000</f>
        <v>178309.38207742776</v>
      </c>
      <c r="CF109" s="357">
        <f ca="1">(+'Balance Sheet'!DM48)/1000</f>
        <v>185224.21484460504</v>
      </c>
      <c r="CG109" s="357">
        <f ca="1">(+'Balance Sheet'!DN48)/1000</f>
        <v>186102.80579562302</v>
      </c>
      <c r="CH109" s="357">
        <f ca="1">(+'Balance Sheet'!DO48)/1000</f>
        <v>191791.74333417683</v>
      </c>
      <c r="CI109" s="357">
        <f ca="1">(+'Balance Sheet'!DP48)/1000</f>
        <v>192761.83012438967</v>
      </c>
      <c r="CJ109" s="357">
        <f ca="1">(+'Balance Sheet'!DQ48)/1000</f>
        <v>199580.38036287029</v>
      </c>
      <c r="CK109" s="357">
        <f ca="1">(+'Balance Sheet'!DR48)/1000</f>
        <v>201584.41854771299</v>
      </c>
      <c r="CL109" s="357">
        <f ca="1">(+'Balance Sheet'!DS48)/1000</f>
        <v>206808.03472356484</v>
      </c>
      <c r="CM109" s="357">
        <f ca="1">(+'Balance Sheet'!DT48)/1000</f>
        <v>209629.43051291126</v>
      </c>
      <c r="CN109" s="357">
        <f ca="1">(+'Balance Sheet'!DU48)/1000</f>
        <v>215889.61999364436</v>
      </c>
      <c r="CO109" s="357">
        <f ca="1">(+'Balance Sheet'!DV48)/1000</f>
        <v>219925.02507701601</v>
      </c>
      <c r="CP109" s="357">
        <f ca="1">(+'Balance Sheet'!DW48)/1000</f>
        <v>224370.93097018174</v>
      </c>
      <c r="CQ109" s="357">
        <f ca="1">(+'Balance Sheet'!DX48)/1000</f>
        <v>229243.21967845046</v>
      </c>
    </row>
    <row r="110" spans="1:95" s="325" customFormat="1" ht="11.25" customHeight="1">
      <c r="A110" s="336" t="s">
        <v>309</v>
      </c>
      <c r="B110" s="334"/>
      <c r="C110" s="334"/>
      <c r="D110" s="334" t="e">
        <f t="shared" ref="D110:U110" si="500">+D109/C109-1</f>
        <v>#DIV/0!</v>
      </c>
      <c r="E110" s="334" t="e">
        <f t="shared" si="500"/>
        <v>#DIV/0!</v>
      </c>
      <c r="F110" s="334" t="e">
        <f t="shared" si="500"/>
        <v>#DIV/0!</v>
      </c>
      <c r="G110" s="334" t="e">
        <f t="shared" si="500"/>
        <v>#DIV/0!</v>
      </c>
      <c r="H110" s="334" t="e">
        <f t="shared" si="500"/>
        <v>#DIV/0!</v>
      </c>
      <c r="I110" s="334" t="e">
        <f t="shared" si="500"/>
        <v>#DIV/0!</v>
      </c>
      <c r="J110" s="334">
        <f t="shared" si="500"/>
        <v>0.26572701061891735</v>
      </c>
      <c r="K110" s="334">
        <f t="shared" si="500"/>
        <v>3.0507696595924338E-2</v>
      </c>
      <c r="L110" s="334">
        <f t="shared" si="500"/>
        <v>0.26563267846871641</v>
      </c>
      <c r="M110" s="334">
        <f t="shared" si="500"/>
        <v>9.0206934283484363E-2</v>
      </c>
      <c r="N110" s="334">
        <f t="shared" si="500"/>
        <v>0.18224031993516454</v>
      </c>
      <c r="O110" s="334">
        <f t="shared" si="500"/>
        <v>0.15018846991154278</v>
      </c>
      <c r="P110" s="333">
        <f t="shared" ca="1" si="500"/>
        <v>9.8346890624863681E-2</v>
      </c>
      <c r="Q110" s="333">
        <f t="shared" ca="1" si="500"/>
        <v>8.3380346586778398E-2</v>
      </c>
      <c r="R110" s="333">
        <f t="shared" ca="1" si="500"/>
        <v>7.8267493365632435E-2</v>
      </c>
      <c r="S110" s="333">
        <f t="shared" ca="1" si="500"/>
        <v>8.1052650615356825E-2</v>
      </c>
      <c r="T110" s="333">
        <f t="shared" ca="1" si="500"/>
        <v>8.7504877794721603E-2</v>
      </c>
      <c r="U110" s="333">
        <f t="shared" ca="1" si="500"/>
        <v>9.3564100792284277E-2</v>
      </c>
      <c r="V110" s="323"/>
      <c r="W110" s="336" t="s">
        <v>309</v>
      </c>
      <c r="X110" s="334">
        <v>0</v>
      </c>
      <c r="Y110" s="334" t="e">
        <f t="shared" ref="Y110:BD110" si="501">+Y109/X109-1</f>
        <v>#DIV/0!</v>
      </c>
      <c r="Z110" s="334" t="e">
        <f t="shared" si="501"/>
        <v>#DIV/0!</v>
      </c>
      <c r="AA110" s="334" t="e">
        <f t="shared" si="501"/>
        <v>#DIV/0!</v>
      </c>
      <c r="AB110" s="334" t="e">
        <f t="shared" si="501"/>
        <v>#DIV/0!</v>
      </c>
      <c r="AC110" s="334" t="e">
        <f t="shared" si="501"/>
        <v>#DIV/0!</v>
      </c>
      <c r="AD110" s="334" t="e">
        <f t="shared" si="501"/>
        <v>#DIV/0!</v>
      </c>
      <c r="AE110" s="334" t="e">
        <f t="shared" si="501"/>
        <v>#DIV/0!</v>
      </c>
      <c r="AF110" s="334" t="e">
        <f t="shared" si="501"/>
        <v>#DIV/0!</v>
      </c>
      <c r="AG110" s="334" t="e">
        <f t="shared" si="501"/>
        <v>#DIV/0!</v>
      </c>
      <c r="AH110" s="334" t="e">
        <f t="shared" si="501"/>
        <v>#DIV/0!</v>
      </c>
      <c r="AI110" s="334" t="e">
        <f t="shared" si="501"/>
        <v>#DIV/0!</v>
      </c>
      <c r="AJ110" s="334" t="e">
        <f t="shared" si="501"/>
        <v>#DIV/0!</v>
      </c>
      <c r="AK110" s="334" t="e">
        <f t="shared" si="501"/>
        <v>#DIV/0!</v>
      </c>
      <c r="AL110" s="334" t="e">
        <f t="shared" si="501"/>
        <v>#DIV/0!</v>
      </c>
      <c r="AM110" s="334" t="e">
        <f t="shared" si="501"/>
        <v>#DIV/0!</v>
      </c>
      <c r="AN110" s="334" t="e">
        <f t="shared" si="501"/>
        <v>#DIV/0!</v>
      </c>
      <c r="AO110" s="334" t="e">
        <f t="shared" si="501"/>
        <v>#DIV/0!</v>
      </c>
      <c r="AP110" s="334" t="e">
        <f t="shared" si="501"/>
        <v>#DIV/0!</v>
      </c>
      <c r="AQ110" s="334" t="e">
        <f t="shared" si="501"/>
        <v>#DIV/0!</v>
      </c>
      <c r="AR110" s="334" t="e">
        <f t="shared" si="501"/>
        <v>#DIV/0!</v>
      </c>
      <c r="AS110" s="334">
        <f t="shared" si="501"/>
        <v>-7.0841626184008466E-2</v>
      </c>
      <c r="AT110" s="334">
        <f t="shared" si="501"/>
        <v>-6.001737933650364E-2</v>
      </c>
      <c r="AU110" s="334">
        <f t="shared" si="501"/>
        <v>6.6022140111204219E-2</v>
      </c>
      <c r="AV110" s="334">
        <f t="shared" si="501"/>
        <v>5.1393956222937964E-2</v>
      </c>
      <c r="AW110" s="334">
        <f t="shared" si="501"/>
        <v>3.520906204341312E-3</v>
      </c>
      <c r="AX110" s="334">
        <f t="shared" si="501"/>
        <v>0.10150414510616912</v>
      </c>
      <c r="AY110" s="334">
        <f t="shared" si="501"/>
        <v>8.9085589287551725E-2</v>
      </c>
      <c r="AZ110" s="334">
        <f t="shared" si="501"/>
        <v>3.3068051506539797E-2</v>
      </c>
      <c r="BA110" s="334">
        <f t="shared" si="501"/>
        <v>-1.39257686210702E-2</v>
      </c>
      <c r="BB110" s="334">
        <f t="shared" si="501"/>
        <v>3.7377105852678394E-3</v>
      </c>
      <c r="BC110" s="334">
        <f t="shared" si="501"/>
        <v>7.8420125056108958E-3</v>
      </c>
      <c r="BD110" s="334">
        <f t="shared" si="501"/>
        <v>0.10152496047637705</v>
      </c>
      <c r="BE110" s="334">
        <f t="shared" ref="BE110:CI110" si="502">+BE109/BD109-1</f>
        <v>2.4587102551119289E-2</v>
      </c>
      <c r="BF110" s="334">
        <f t="shared" si="502"/>
        <v>4.3152796177574171E-2</v>
      </c>
      <c r="BG110" s="335">
        <f t="shared" si="502"/>
        <v>7.5019954818803969E-2</v>
      </c>
      <c r="BH110" s="334">
        <f t="shared" si="502"/>
        <v>5.4952348420440167E-2</v>
      </c>
      <c r="BI110" s="334">
        <f t="shared" si="502"/>
        <v>6.4841471444825327E-3</v>
      </c>
      <c r="BJ110" s="334">
        <f t="shared" si="502"/>
        <v>3.877993892714926E-3</v>
      </c>
      <c r="BK110" s="334">
        <f t="shared" si="502"/>
        <v>2.2794122870406941E-2</v>
      </c>
      <c r="BL110" s="334">
        <f t="shared" si="502"/>
        <v>8.7913852352663246E-2</v>
      </c>
      <c r="BM110" s="334">
        <f t="shared" si="502"/>
        <v>2.0890534447808085E-2</v>
      </c>
      <c r="BN110" s="334">
        <f t="shared" si="502"/>
        <v>4.4633560590924937E-2</v>
      </c>
      <c r="BO110" s="334">
        <f t="shared" si="502"/>
        <v>1.8985745698000489E-2</v>
      </c>
      <c r="BP110" s="334">
        <f t="shared" si="502"/>
        <v>4.3284322358512206E-2</v>
      </c>
      <c r="BQ110" s="334">
        <f t="shared" si="502"/>
        <v>1.4109021670754673E-2</v>
      </c>
      <c r="BR110" s="334">
        <f t="shared" si="502"/>
        <v>7.2130983752428213E-2</v>
      </c>
      <c r="BS110" s="334">
        <f t="shared" si="502"/>
        <v>1.3990381141893327E-2</v>
      </c>
      <c r="BT110" s="333">
        <f t="shared" ca="1" si="502"/>
        <v>7.3362372366136741E-2</v>
      </c>
      <c r="BU110" s="333">
        <f t="shared" ca="1" si="502"/>
        <v>-1.1731709891032338E-2</v>
      </c>
      <c r="BV110" s="333">
        <f t="shared" ca="1" si="502"/>
        <v>4.3334579728494749E-2</v>
      </c>
      <c r="BW110" s="333">
        <f t="shared" ca="1" si="502"/>
        <v>-7.5818555287140432E-3</v>
      </c>
      <c r="BX110" s="333">
        <f t="shared" ca="1" si="502"/>
        <v>4.7534576696483866E-2</v>
      </c>
      <c r="BY110" s="333">
        <f t="shared" ca="1" si="502"/>
        <v>-2.5818987200572074E-3</v>
      </c>
      <c r="BZ110" s="333">
        <f t="shared" ca="1" si="502"/>
        <v>4.0167465435447136E-2</v>
      </c>
      <c r="CA110" s="333">
        <f t="shared" ca="1" si="502"/>
        <v>-3.1448092418349116E-3</v>
      </c>
      <c r="CB110" s="333">
        <f t="shared" ca="1" si="502"/>
        <v>4.2109682521901615E-2</v>
      </c>
      <c r="CC110" s="333">
        <f t="shared" ca="1" si="502"/>
        <v>3.0155301391920908E-4</v>
      </c>
      <c r="CD110" s="333">
        <f t="shared" ca="1" si="502"/>
        <v>3.436800955123398E-2</v>
      </c>
      <c r="CE110" s="333">
        <f t="shared" ca="1" si="502"/>
        <v>1.6252088165691347E-5</v>
      </c>
      <c r="CF110" s="333">
        <f t="shared" ca="1" si="502"/>
        <v>3.8779971567478366E-2</v>
      </c>
      <c r="CG110" s="333">
        <f t="shared" ca="1" si="502"/>
        <v>4.743391417558751E-3</v>
      </c>
      <c r="CH110" s="333">
        <f t="shared" ca="1" si="502"/>
        <v>3.0568789730130996E-2</v>
      </c>
      <c r="CI110" s="333">
        <f t="shared" ca="1" si="502"/>
        <v>5.0580216507161158E-3</v>
      </c>
      <c r="CJ110" s="333">
        <f t="shared" ref="CJ110" ca="1" si="503">+CJ109/CI109-1</f>
        <v>3.5372927483001027E-2</v>
      </c>
      <c r="CK110" s="333">
        <f t="shared" ref="CK110" ca="1" si="504">+CK109/CJ109-1</f>
        <v>1.0041258470391945E-2</v>
      </c>
      <c r="CL110" s="333">
        <f t="shared" ref="CL110" ca="1" si="505">+CL109/CK109-1</f>
        <v>2.5912797295964962E-2</v>
      </c>
      <c r="CM110" s="333">
        <f t="shared" ref="CM110" ca="1" si="506">+CM109/CL109-1</f>
        <v>1.3642583051077795E-2</v>
      </c>
      <c r="CN110" s="333">
        <f t="shared" ref="CN110" ca="1" si="507">+CN109/CM109-1</f>
        <v>2.9863123061566244E-2</v>
      </c>
      <c r="CO110" s="333">
        <f t="shared" ref="CO110" ca="1" si="508">+CO109/CN109-1</f>
        <v>1.8691982891490877E-2</v>
      </c>
      <c r="CP110" s="333">
        <f t="shared" ref="CP110" ca="1" si="509">+CP109/CO109-1</f>
        <v>2.0215552512083734E-2</v>
      </c>
      <c r="CQ110" s="333">
        <f t="shared" ref="CQ110" ca="1" si="510">+CQ109/CP109-1</f>
        <v>2.1715329553614326E-2</v>
      </c>
    </row>
    <row r="111" spans="1:95" s="325" customFormat="1" ht="11.25" customHeight="1">
      <c r="A111" s="329" t="s">
        <v>312</v>
      </c>
      <c r="B111" s="346"/>
      <c r="C111" s="346">
        <f>(+'Balance Sheet'!H58)/1000</f>
        <v>0</v>
      </c>
      <c r="D111" s="346">
        <f>(+'Balance Sheet'!I58)/1000</f>
        <v>0</v>
      </c>
      <c r="E111" s="346">
        <f>(+'Balance Sheet'!J58)/1000</f>
        <v>0</v>
      </c>
      <c r="F111" s="346">
        <f>(+'Balance Sheet'!K58)/1000</f>
        <v>0</v>
      </c>
      <c r="G111" s="346">
        <f>(+'Balance Sheet'!L58)/1000</f>
        <v>0</v>
      </c>
      <c r="H111" s="346">
        <f>(+'Balance Sheet'!M58)/1000</f>
        <v>0</v>
      </c>
      <c r="I111" s="346">
        <f>(+'Balance Sheet'!N58)/1000</f>
        <v>6677.592955035102</v>
      </c>
      <c r="J111" s="346">
        <f>(+'Balance Sheet'!O58)/1000</f>
        <v>7892.98698833852</v>
      </c>
      <c r="K111" s="346">
        <f>(+'Balance Sheet'!P58)/1000</f>
        <v>9101.0006443639213</v>
      </c>
      <c r="L111" s="346">
        <f>(+'Balance Sheet'!Q58)/1000</f>
        <v>10628.318141276997</v>
      </c>
      <c r="M111" s="346">
        <f>(+'Balance Sheet'!R58)/1000</f>
        <v>11831.512022003953</v>
      </c>
      <c r="N111" s="346">
        <f>(+'Balance Sheet'!S58)/1000</f>
        <v>13979.455</v>
      </c>
      <c r="O111" s="346">
        <f>(+'Balance Sheet'!T58)/1000</f>
        <v>16128.014999999999</v>
      </c>
      <c r="P111" s="345">
        <f ca="1">(+'Balance Sheet'!U58)/1000</f>
        <v>18873.326367245572</v>
      </c>
      <c r="Q111" s="345">
        <f ca="1">(+'Balance Sheet'!V58)/1000</f>
        <v>22165.537417867014</v>
      </c>
      <c r="R111" s="345">
        <f ca="1">(+'Balance Sheet'!W58)/1000</f>
        <v>26074.393829394048</v>
      </c>
      <c r="S111" s="345">
        <f ca="1">(+'Balance Sheet'!X58)/1000</f>
        <v>30532.840001333527</v>
      </c>
      <c r="T111" s="345">
        <f ca="1">(+'Balance Sheet'!Y58)/1000</f>
        <v>35720.669162954749</v>
      </c>
      <c r="U111" s="345">
        <f ca="1">(+'Balance Sheet'!Z58)/1000</f>
        <v>41750.372015105284</v>
      </c>
      <c r="V111" s="323"/>
      <c r="W111" s="329" t="s">
        <v>312</v>
      </c>
      <c r="X111" s="358">
        <f>(+'Balance Sheet'!BE58)/1000</f>
        <v>0</v>
      </c>
      <c r="Y111" s="358">
        <f>(+'Balance Sheet'!BF58)/1000</f>
        <v>0</v>
      </c>
      <c r="Z111" s="358">
        <f>(+'Balance Sheet'!BG58)/1000</f>
        <v>0</v>
      </c>
      <c r="AA111" s="358">
        <f>(+'Balance Sheet'!BH58)/1000</f>
        <v>0</v>
      </c>
      <c r="AB111" s="358">
        <f>(+'Balance Sheet'!BI58)/1000</f>
        <v>0</v>
      </c>
      <c r="AC111" s="358">
        <f>(+'Balance Sheet'!BJ58)/1000</f>
        <v>0</v>
      </c>
      <c r="AD111" s="358">
        <f>(+'Balance Sheet'!BK58)/1000</f>
        <v>0</v>
      </c>
      <c r="AE111" s="358">
        <f>(+'Balance Sheet'!BL58)/1000</f>
        <v>0</v>
      </c>
      <c r="AF111" s="358">
        <f>(+'Balance Sheet'!BM58)/1000</f>
        <v>0</v>
      </c>
      <c r="AG111" s="358">
        <f>(+'Balance Sheet'!BN58)/1000</f>
        <v>0</v>
      </c>
      <c r="AH111" s="358">
        <f>(+'Balance Sheet'!BO58)/1000</f>
        <v>0</v>
      </c>
      <c r="AI111" s="358">
        <f>(+'Balance Sheet'!BP58)/1000</f>
        <v>0</v>
      </c>
      <c r="AJ111" s="358">
        <f>(+'Balance Sheet'!BQ58)/1000</f>
        <v>0</v>
      </c>
      <c r="AK111" s="358">
        <f>(+'Balance Sheet'!BR58)/1000</f>
        <v>0</v>
      </c>
      <c r="AL111" s="358">
        <f>(+'Balance Sheet'!BS58)/1000</f>
        <v>0</v>
      </c>
      <c r="AM111" s="358">
        <f>(+'Balance Sheet'!BT58)/1000</f>
        <v>0</v>
      </c>
      <c r="AN111" s="358">
        <f>(+'Balance Sheet'!BU58)/1000</f>
        <v>0</v>
      </c>
      <c r="AO111" s="358">
        <f>(+'Balance Sheet'!BV58)/1000</f>
        <v>0</v>
      </c>
      <c r="AP111" s="358">
        <f>(+'Balance Sheet'!BW58)/1000</f>
        <v>0</v>
      </c>
      <c r="AQ111" s="358">
        <f>(+'Balance Sheet'!BX58)/1000</f>
        <v>0</v>
      </c>
      <c r="AR111" s="358">
        <f>(+'Balance Sheet'!BY58)/1000</f>
        <v>5272.84583065279</v>
      </c>
      <c r="AS111" s="358">
        <f>(+'Balance Sheet'!BZ58)/1000</f>
        <v>5817.6088003278001</v>
      </c>
      <c r="AT111" s="358">
        <f>(+'Balance Sheet'!CA58)/1000</f>
        <v>6143.2140667139183</v>
      </c>
      <c r="AU111" s="358">
        <f>(+'Balance Sheet'!CB58)/1000</f>
        <v>6677.592955035102</v>
      </c>
      <c r="AV111" s="358">
        <f>(+'Balance Sheet'!CC58)/1000</f>
        <v>6490.3836101182196</v>
      </c>
      <c r="AW111" s="358">
        <f>(+'Balance Sheet'!CD58)/1000</f>
        <v>6875.843020791659</v>
      </c>
      <c r="AX111" s="358">
        <f>(+'Balance Sheet'!CE58)/1000</f>
        <v>7495.1200797692964</v>
      </c>
      <c r="AY111" s="358">
        <f>(+'Balance Sheet'!CF58)/1000</f>
        <v>7892.98698833852</v>
      </c>
      <c r="AZ111" s="358">
        <f>(+'Balance Sheet'!CG58)/1000</f>
        <v>7852.8546666173997</v>
      </c>
      <c r="BA111" s="358">
        <f>(+'Balance Sheet'!CH58)/1000</f>
        <v>8153.3904563466804</v>
      </c>
      <c r="BB111" s="358">
        <f>(+'Balance Sheet'!CI58)/1000</f>
        <v>8576.2743124175995</v>
      </c>
      <c r="BC111" s="358">
        <f>(+'Balance Sheet'!CJ58)/1000</f>
        <v>9101.0006443639213</v>
      </c>
      <c r="BD111" s="358">
        <f>(+'Balance Sheet'!CK58)/1000</f>
        <v>9317.8384191626956</v>
      </c>
      <c r="BE111" s="358">
        <f>(+'Balance Sheet'!CL58)/1000</f>
        <v>9816.2819821148114</v>
      </c>
      <c r="BF111" s="358">
        <f>(+'Balance Sheet'!CM58)/1000</f>
        <v>10411.885980671876</v>
      </c>
      <c r="BG111" s="359">
        <f>(+'Balance Sheet'!CN58)/1000</f>
        <v>10628.318141276997</v>
      </c>
      <c r="BH111" s="358">
        <f>(+'Balance Sheet'!CO58)/1000</f>
        <v>10667.155176262713</v>
      </c>
      <c r="BI111" s="358">
        <f>(+'Balance Sheet'!CP58)/1000</f>
        <v>10808.424429032915</v>
      </c>
      <c r="BJ111" s="358">
        <f>(+'Balance Sheet'!CQ58)/1000</f>
        <v>11378.144979151961</v>
      </c>
      <c r="BK111" s="358">
        <f>(+'Balance Sheet'!CR58)/1000</f>
        <v>11831.512022003953</v>
      </c>
      <c r="BL111" s="358">
        <f>(+'Balance Sheet'!CS58)/1000</f>
        <v>11957.91</v>
      </c>
      <c r="BM111" s="358">
        <f>(+'Balance Sheet'!CT58)/1000</f>
        <v>12807.368</v>
      </c>
      <c r="BN111" s="358">
        <f>(+'Balance Sheet'!CU58)/1000</f>
        <v>13414.050999999999</v>
      </c>
      <c r="BO111" s="358">
        <f>(+'Balance Sheet'!CV58)/1000</f>
        <v>13979.455</v>
      </c>
      <c r="BP111" s="358">
        <f>(+'Balance Sheet'!CW58)/1000</f>
        <v>14207.531000000001</v>
      </c>
      <c r="BQ111" s="358">
        <f>(+'Balance Sheet'!CX58)/1000</f>
        <v>14803.710999999999</v>
      </c>
      <c r="BR111" s="358">
        <f>(+'Balance Sheet'!CY58)/1000</f>
        <v>15153.252</v>
      </c>
      <c r="BS111" s="358">
        <f>(+'Balance Sheet'!CZ58)/1000</f>
        <v>16128.014999999999</v>
      </c>
      <c r="BT111" s="357">
        <f ca="1">(+'Balance Sheet'!DA58)/1000</f>
        <v>16178.454780210261</v>
      </c>
      <c r="BU111" s="357">
        <f ca="1">(+'Balance Sheet'!DB58)/1000</f>
        <v>17029.892941949311</v>
      </c>
      <c r="BV111" s="357">
        <f ca="1">(+'Balance Sheet'!DC58)/1000</f>
        <v>17938.52566434136</v>
      </c>
      <c r="BW111" s="357">
        <f ca="1">(+'Balance Sheet'!DD58)/1000</f>
        <v>18873.326367245572</v>
      </c>
      <c r="BX111" s="357">
        <f ca="1">(+'Balance Sheet'!DE58)/1000</f>
        <v>18997.167973907472</v>
      </c>
      <c r="BY111" s="357">
        <f ca="1">(+'Balance Sheet'!DF58)/1000</f>
        <v>20032.576011055244</v>
      </c>
      <c r="BZ111" s="357">
        <f ca="1">(+'Balance Sheet'!DG58)/1000</f>
        <v>21090.052484519274</v>
      </c>
      <c r="CA111" s="357">
        <f ca="1">(+'Balance Sheet'!DH58)/1000</f>
        <v>22165.537417867014</v>
      </c>
      <c r="CB111" s="357">
        <f ca="1">(+'Balance Sheet'!DI58)/1000</f>
        <v>22283.75394982145</v>
      </c>
      <c r="CC111" s="357">
        <f ca="1">(+'Balance Sheet'!DJ58)/1000</f>
        <v>23505.649479188247</v>
      </c>
      <c r="CD111" s="357">
        <f ca="1">(+'Balance Sheet'!DK58)/1000</f>
        <v>24771.955597124503</v>
      </c>
      <c r="CE111" s="357">
        <f ca="1">(+'Balance Sheet'!DL58)/1000</f>
        <v>26074.393829394048</v>
      </c>
      <c r="CF111" s="357">
        <f ca="1">(+'Balance Sheet'!DM58)/1000</f>
        <v>26218.13631521786</v>
      </c>
      <c r="CG111" s="357">
        <f ca="1">(+'Balance Sheet'!DN58)/1000</f>
        <v>27629.553910160255</v>
      </c>
      <c r="CH111" s="357">
        <f ca="1">(+'Balance Sheet'!DO58)/1000</f>
        <v>29073.181878984691</v>
      </c>
      <c r="CI111" s="357">
        <f ca="1">(+'Balance Sheet'!DP58)/1000</f>
        <v>30532.840001333527</v>
      </c>
      <c r="CJ111" s="357">
        <f ca="1">(+'Balance Sheet'!DQ58)/1000</f>
        <v>30685.603415217989</v>
      </c>
      <c r="CK111" s="357">
        <f ca="1">(+'Balance Sheet'!DR58)/1000</f>
        <v>32323.055396513184</v>
      </c>
      <c r="CL111" s="357">
        <f ca="1">(+'Balance Sheet'!DS58)/1000</f>
        <v>34011.28464189345</v>
      </c>
      <c r="CM111" s="357">
        <f ca="1">(+'Balance Sheet'!DT58)/1000</f>
        <v>35720.669162954749</v>
      </c>
      <c r="CN111" s="357">
        <f ca="1">(+'Balance Sheet'!DU58)/1000</f>
        <v>35906.661137122908</v>
      </c>
      <c r="CO111" s="357">
        <f ca="1">(+'Balance Sheet'!DV58)/1000</f>
        <v>37812.23149954377</v>
      </c>
      <c r="CP111" s="357">
        <f ca="1">(+'Balance Sheet'!DW58)/1000</f>
        <v>39766.641085497577</v>
      </c>
      <c r="CQ111" s="357">
        <f ca="1">(+'Balance Sheet'!DX58)/1000</f>
        <v>41750.372015105284</v>
      </c>
    </row>
    <row r="112" spans="1:95" s="325" customFormat="1" ht="11.25" customHeight="1">
      <c r="A112" s="336" t="s">
        <v>309</v>
      </c>
      <c r="B112" s="334"/>
      <c r="C112" s="334"/>
      <c r="D112" s="334" t="e">
        <f t="shared" ref="D112:U112" si="511">+D111/C111-1</f>
        <v>#DIV/0!</v>
      </c>
      <c r="E112" s="334" t="e">
        <f t="shared" si="511"/>
        <v>#DIV/0!</v>
      </c>
      <c r="F112" s="334" t="e">
        <f t="shared" si="511"/>
        <v>#DIV/0!</v>
      </c>
      <c r="G112" s="334" t="e">
        <f t="shared" si="511"/>
        <v>#DIV/0!</v>
      </c>
      <c r="H112" s="334" t="e">
        <f t="shared" si="511"/>
        <v>#DIV/0!</v>
      </c>
      <c r="I112" s="334" t="e">
        <f t="shared" si="511"/>
        <v>#DIV/0!</v>
      </c>
      <c r="J112" s="334">
        <f t="shared" si="511"/>
        <v>0.18201079962308508</v>
      </c>
      <c r="K112" s="334">
        <f t="shared" si="511"/>
        <v>0.15304898612023288</v>
      </c>
      <c r="L112" s="334">
        <f t="shared" si="511"/>
        <v>0.16781863408161768</v>
      </c>
      <c r="M112" s="334">
        <f t="shared" si="511"/>
        <v>0.11320642313614382</v>
      </c>
      <c r="N112" s="334">
        <f t="shared" si="511"/>
        <v>0.18154425013483944</v>
      </c>
      <c r="O112" s="334">
        <f t="shared" si="511"/>
        <v>0.15369411754607021</v>
      </c>
      <c r="P112" s="333">
        <f t="shared" ca="1" si="511"/>
        <v>0.17022004054718276</v>
      </c>
      <c r="Q112" s="333">
        <f t="shared" ca="1" si="511"/>
        <v>0.17443724474213695</v>
      </c>
      <c r="R112" s="333">
        <f t="shared" ca="1" si="511"/>
        <v>0.17634837079908627</v>
      </c>
      <c r="S112" s="333">
        <f t="shared" ca="1" si="511"/>
        <v>0.17098944662381399</v>
      </c>
      <c r="T112" s="333">
        <f t="shared" ca="1" si="511"/>
        <v>0.16990981387236315</v>
      </c>
      <c r="U112" s="333">
        <f t="shared" ca="1" si="511"/>
        <v>0.16880150885873735</v>
      </c>
      <c r="V112" s="323"/>
      <c r="W112" s="336" t="s">
        <v>309</v>
      </c>
      <c r="X112" s="334">
        <v>0</v>
      </c>
      <c r="Y112" s="334" t="e">
        <f t="shared" ref="Y112:BD112" si="512">+Y111/X111-1</f>
        <v>#DIV/0!</v>
      </c>
      <c r="Z112" s="334" t="e">
        <f t="shared" si="512"/>
        <v>#DIV/0!</v>
      </c>
      <c r="AA112" s="334" t="e">
        <f t="shared" si="512"/>
        <v>#DIV/0!</v>
      </c>
      <c r="AB112" s="334" t="e">
        <f t="shared" si="512"/>
        <v>#DIV/0!</v>
      </c>
      <c r="AC112" s="334" t="e">
        <f t="shared" si="512"/>
        <v>#DIV/0!</v>
      </c>
      <c r="AD112" s="334" t="e">
        <f t="shared" si="512"/>
        <v>#DIV/0!</v>
      </c>
      <c r="AE112" s="334" t="e">
        <f t="shared" si="512"/>
        <v>#DIV/0!</v>
      </c>
      <c r="AF112" s="334" t="e">
        <f t="shared" si="512"/>
        <v>#DIV/0!</v>
      </c>
      <c r="AG112" s="334" t="e">
        <f t="shared" si="512"/>
        <v>#DIV/0!</v>
      </c>
      <c r="AH112" s="334" t="e">
        <f t="shared" si="512"/>
        <v>#DIV/0!</v>
      </c>
      <c r="AI112" s="334" t="e">
        <f t="shared" si="512"/>
        <v>#DIV/0!</v>
      </c>
      <c r="AJ112" s="334" t="e">
        <f t="shared" si="512"/>
        <v>#DIV/0!</v>
      </c>
      <c r="AK112" s="334" t="e">
        <f t="shared" si="512"/>
        <v>#DIV/0!</v>
      </c>
      <c r="AL112" s="334" t="e">
        <f t="shared" si="512"/>
        <v>#DIV/0!</v>
      </c>
      <c r="AM112" s="334" t="e">
        <f t="shared" si="512"/>
        <v>#DIV/0!</v>
      </c>
      <c r="AN112" s="334" t="e">
        <f t="shared" si="512"/>
        <v>#DIV/0!</v>
      </c>
      <c r="AO112" s="334" t="e">
        <f t="shared" si="512"/>
        <v>#DIV/0!</v>
      </c>
      <c r="AP112" s="334" t="e">
        <f t="shared" si="512"/>
        <v>#DIV/0!</v>
      </c>
      <c r="AQ112" s="334" t="e">
        <f t="shared" si="512"/>
        <v>#DIV/0!</v>
      </c>
      <c r="AR112" s="334" t="e">
        <f t="shared" si="512"/>
        <v>#DIV/0!</v>
      </c>
      <c r="AS112" s="334">
        <f t="shared" si="512"/>
        <v>0.10331479189247728</v>
      </c>
      <c r="AT112" s="334">
        <f t="shared" si="512"/>
        <v>5.5968917395712747E-2</v>
      </c>
      <c r="AU112" s="334">
        <f t="shared" si="512"/>
        <v>8.6986857778021287E-2</v>
      </c>
      <c r="AV112" s="334">
        <f t="shared" si="512"/>
        <v>-2.8035453220568218E-2</v>
      </c>
      <c r="AW112" s="334">
        <f t="shared" si="512"/>
        <v>5.9389310991190936E-2</v>
      </c>
      <c r="AX112" s="334">
        <f t="shared" si="512"/>
        <v>9.0065619169172884E-2</v>
      </c>
      <c r="AY112" s="334">
        <f t="shared" si="512"/>
        <v>5.3083460216086342E-2</v>
      </c>
      <c r="AZ112" s="334">
        <f t="shared" si="512"/>
        <v>-5.0845544000532872E-3</v>
      </c>
      <c r="BA112" s="334">
        <f t="shared" si="512"/>
        <v>3.8270896697842005E-2</v>
      </c>
      <c r="BB112" s="334">
        <f t="shared" si="512"/>
        <v>5.1866013081925066E-2</v>
      </c>
      <c r="BC112" s="334">
        <f t="shared" si="512"/>
        <v>6.1183482807513512E-2</v>
      </c>
      <c r="BD112" s="334">
        <f t="shared" si="512"/>
        <v>2.3825707004323515E-2</v>
      </c>
      <c r="BE112" s="334">
        <f t="shared" ref="BE112:CI112" si="513">+BE111/BD111-1</f>
        <v>5.3493475689279757E-2</v>
      </c>
      <c r="BF112" s="334">
        <f t="shared" si="513"/>
        <v>6.0675110967905121E-2</v>
      </c>
      <c r="BG112" s="335">
        <f t="shared" si="513"/>
        <v>2.0787027538228475E-2</v>
      </c>
      <c r="BH112" s="334">
        <f t="shared" si="513"/>
        <v>3.6541091891939548E-3</v>
      </c>
      <c r="BI112" s="334">
        <f t="shared" si="513"/>
        <v>1.3243385929602391E-2</v>
      </c>
      <c r="BJ112" s="334">
        <f t="shared" si="513"/>
        <v>5.2710786281550792E-2</v>
      </c>
      <c r="BK112" s="334">
        <f t="shared" si="513"/>
        <v>3.9845426796959682E-2</v>
      </c>
      <c r="BL112" s="334">
        <f t="shared" si="513"/>
        <v>1.0683163551790775E-2</v>
      </c>
      <c r="BM112" s="334">
        <f t="shared" si="513"/>
        <v>7.103733010199953E-2</v>
      </c>
      <c r="BN112" s="334">
        <f t="shared" si="513"/>
        <v>4.7369842109635574E-2</v>
      </c>
      <c r="BO112" s="334">
        <f t="shared" si="513"/>
        <v>4.2150130486308779E-2</v>
      </c>
      <c r="BP112" s="334">
        <f t="shared" si="513"/>
        <v>1.6315085244739569E-2</v>
      </c>
      <c r="BQ112" s="334">
        <f t="shared" si="513"/>
        <v>4.1962252273107792E-2</v>
      </c>
      <c r="BR112" s="334">
        <f t="shared" si="513"/>
        <v>2.3611714657223448E-2</v>
      </c>
      <c r="BS112" s="334">
        <f t="shared" si="513"/>
        <v>6.4326984069162041E-2</v>
      </c>
      <c r="BT112" s="333">
        <f t="shared" ca="1" si="513"/>
        <v>3.1274636221667595E-3</v>
      </c>
      <c r="BU112" s="333">
        <f t="shared" ca="1" si="513"/>
        <v>5.2627903795889219E-2</v>
      </c>
      <c r="BV112" s="333">
        <f t="shared" ca="1" si="513"/>
        <v>5.3355163505099723E-2</v>
      </c>
      <c r="BW112" s="333">
        <f t="shared" ca="1" si="513"/>
        <v>5.2111345179410851E-2</v>
      </c>
      <c r="BX112" s="333">
        <f t="shared" ca="1" si="513"/>
        <v>6.5617265474104958E-3</v>
      </c>
      <c r="BY112" s="333">
        <f t="shared" ca="1" si="513"/>
        <v>5.4503283782609158E-2</v>
      </c>
      <c r="BZ112" s="333">
        <f t="shared" ca="1" si="513"/>
        <v>5.2787842805660512E-2</v>
      </c>
      <c r="CA112" s="333">
        <f t="shared" ca="1" si="513"/>
        <v>5.0994891270999876E-2</v>
      </c>
      <c r="CB112" s="333">
        <f t="shared" ca="1" si="513"/>
        <v>5.333348329246812E-3</v>
      </c>
      <c r="CC112" s="333">
        <f t="shared" ca="1" si="513"/>
        <v>5.4833468908257688E-2</v>
      </c>
      <c r="CD112" s="333">
        <f t="shared" ca="1" si="513"/>
        <v>5.3872415610444424E-2</v>
      </c>
      <c r="CE112" s="333">
        <f t="shared" ca="1" si="513"/>
        <v>5.2577126063504176E-2</v>
      </c>
      <c r="CF112" s="333">
        <f t="shared" ca="1" si="513"/>
        <v>5.5127834136556864E-3</v>
      </c>
      <c r="CG112" s="333">
        <f t="shared" ca="1" si="513"/>
        <v>5.3833635540416536E-2</v>
      </c>
      <c r="CH112" s="333">
        <f t="shared" ca="1" si="513"/>
        <v>5.2249412839545206E-2</v>
      </c>
      <c r="CI112" s="333">
        <f t="shared" ca="1" si="513"/>
        <v>5.0206342340668897E-2</v>
      </c>
      <c r="CJ112" s="333">
        <f t="shared" ref="CJ112" ca="1" si="514">+CJ111/CI111-1</f>
        <v>5.0032494153111617E-3</v>
      </c>
      <c r="CK112" s="333">
        <f t="shared" ref="CK112" ca="1" si="515">+CK111/CJ111-1</f>
        <v>5.3362221988541014E-2</v>
      </c>
      <c r="CL112" s="333">
        <f t="shared" ref="CL112" ca="1" si="516">+CL111/CK111-1</f>
        <v>5.2229878168088772E-2</v>
      </c>
      <c r="CM112" s="333">
        <f t="shared" ref="CM112" ca="1" si="517">+CM111/CL111-1</f>
        <v>5.0259334190386973E-2</v>
      </c>
      <c r="CN112" s="333">
        <f t="shared" ref="CN112" ca="1" si="518">+CN111/CM111-1</f>
        <v>5.2068446231978704E-3</v>
      </c>
      <c r="CO112" s="333">
        <f t="shared" ref="CO112" ca="1" si="519">+CO111/CN111-1</f>
        <v>5.3070107386028909E-2</v>
      </c>
      <c r="CP112" s="333">
        <f t="shared" ref="CP112" ca="1" si="520">+CP111/CO111-1</f>
        <v>5.1687232105764203E-2</v>
      </c>
      <c r="CQ112" s="333">
        <f t="shared" ref="CQ112" ca="1" si="521">+CQ111/CP111-1</f>
        <v>4.9884296874425971E-2</v>
      </c>
    </row>
    <row r="113" spans="1:95" s="325" customFormat="1" ht="11.25" customHeight="1">
      <c r="A113" s="329" t="s">
        <v>311</v>
      </c>
      <c r="B113" s="346"/>
      <c r="C113" s="346">
        <f>'Income Statement'!H57/1000</f>
        <v>0</v>
      </c>
      <c r="D113" s="346">
        <f>'Income Statement'!I57/1000</f>
        <v>0</v>
      </c>
      <c r="E113" s="346">
        <f>'Income Statement'!J57/1000</f>
        <v>0</v>
      </c>
      <c r="F113" s="346">
        <f>'Income Statement'!K57/1000</f>
        <v>0</v>
      </c>
      <c r="G113" s="346">
        <f>'Income Statement'!L57/1000</f>
        <v>0</v>
      </c>
      <c r="H113" s="346">
        <f>'Income Statement'!M57/1000</f>
        <v>0</v>
      </c>
      <c r="I113" s="346">
        <f>'Income Statement'!N57/1000</f>
        <v>56937.125951994516</v>
      </c>
      <c r="J113" s="346">
        <f>'Income Statement'!O57/1000</f>
        <v>71013.274732580685</v>
      </c>
      <c r="K113" s="346">
        <f>'Income Statement'!P57/1000</f>
        <v>75359.402245999605</v>
      </c>
      <c r="L113" s="346">
        <f>'Income Statement'!Q57/1000</f>
        <v>92097.436241797477</v>
      </c>
      <c r="M113" s="346">
        <f>'Income Statement'!R57/1000</f>
        <v>102030.85009852842</v>
      </c>
      <c r="N113" s="346">
        <f>'Income Statement'!S57/1000</f>
        <v>121040.906</v>
      </c>
      <c r="O113" s="346">
        <f>'Income Statement'!T57/1000</f>
        <v>143103.30100000001</v>
      </c>
      <c r="P113" s="345">
        <f>'Income Statement'!U57/1000</f>
        <v>155473.75218945788</v>
      </c>
      <c r="Q113" s="345">
        <f>'Income Statement'!V57/1000</f>
        <v>170392.55790500535</v>
      </c>
      <c r="R113" s="345">
        <f>'Income Statement'!W57/1000</f>
        <v>186432.10196915836</v>
      </c>
      <c r="S113" s="345">
        <f>'Income Statement'!X57/1000</f>
        <v>204573.45119383148</v>
      </c>
      <c r="T113" s="345">
        <f>'Income Statement'!Y57/1000</f>
        <v>225688.12042436725</v>
      </c>
      <c r="U113" s="345">
        <f>'Income Statement'!Z57/1000</f>
        <v>250193.96687522999</v>
      </c>
      <c r="V113" s="323"/>
      <c r="W113" s="329" t="s">
        <v>311</v>
      </c>
      <c r="X113" s="358">
        <f>'Income Statement'!BE57/1000</f>
        <v>0</v>
      </c>
      <c r="Y113" s="358">
        <f>'Income Statement'!BF57/1000</f>
        <v>0</v>
      </c>
      <c r="Z113" s="358">
        <f>'Income Statement'!BG57/1000</f>
        <v>0</v>
      </c>
      <c r="AA113" s="358">
        <f>'Income Statement'!BH57/1000</f>
        <v>0</v>
      </c>
      <c r="AB113" s="358">
        <f>'Income Statement'!BI57/1000</f>
        <v>0</v>
      </c>
      <c r="AC113" s="358">
        <f>'Income Statement'!BJ57/1000</f>
        <v>0</v>
      </c>
      <c r="AD113" s="358">
        <f>'Income Statement'!BK57/1000</f>
        <v>0</v>
      </c>
      <c r="AE113" s="358">
        <f>'Income Statement'!BL57/1000</f>
        <v>0</v>
      </c>
      <c r="AF113" s="358">
        <f>'Income Statement'!BM57/1000</f>
        <v>0</v>
      </c>
      <c r="AG113" s="358">
        <f>'Income Statement'!BN57/1000</f>
        <v>0</v>
      </c>
      <c r="AH113" s="358">
        <f>'Income Statement'!BO57/1000</f>
        <v>0</v>
      </c>
      <c r="AI113" s="358">
        <f>'Income Statement'!BP57/1000</f>
        <v>0</v>
      </c>
      <c r="AJ113" s="358">
        <f>'Income Statement'!BQ57/1000</f>
        <v>0</v>
      </c>
      <c r="AK113" s="358">
        <f>'Income Statement'!BR57/1000</f>
        <v>0</v>
      </c>
      <c r="AL113" s="358">
        <f>'Income Statement'!BS57/1000</f>
        <v>0</v>
      </c>
      <c r="AM113" s="358">
        <f>'Income Statement'!BT57/1000</f>
        <v>0</v>
      </c>
      <c r="AN113" s="358">
        <f>'Income Statement'!BU57/1000</f>
        <v>0</v>
      </c>
      <c r="AO113" s="358">
        <f>'Income Statement'!BV57/1000</f>
        <v>0</v>
      </c>
      <c r="AP113" s="358">
        <f>'Income Statement'!BW57/1000</f>
        <v>0</v>
      </c>
      <c r="AQ113" s="358">
        <f>'Income Statement'!BX57/1000</f>
        <v>0</v>
      </c>
      <c r="AR113" s="567">
        <f>'Income Statement'!BY57/1000</f>
        <v>59162.345779853633</v>
      </c>
      <c r="AS113" s="358">
        <f>'Income Statement'!BZ57/1000</f>
        <v>55774.684191685192</v>
      </c>
      <c r="AT113" s="358">
        <f>'Income Statement'!CA57/1000</f>
        <v>52951.258667993556</v>
      </c>
      <c r="AU113" s="358">
        <f>'Income Statement'!CB57/1000</f>
        <v>56937.125951994516</v>
      </c>
      <c r="AV113" s="358">
        <f>'Income Statement'!CC57/1000</f>
        <v>58732.367317261858</v>
      </c>
      <c r="AW113" s="358">
        <f>'Income Statement'!CD57/1000</f>
        <v>59935.135712846022</v>
      </c>
      <c r="AX113" s="358">
        <f>'Income Statement'!CE57/1000</f>
        <v>66917.081694319102</v>
      </c>
      <c r="AY113" s="358">
        <f>'Income Statement'!CF57/1000</f>
        <v>71013.274732580685</v>
      </c>
      <c r="AZ113" s="358">
        <f>'Income Statement'!CG57/1000</f>
        <v>73995.866354558006</v>
      </c>
      <c r="BA113" s="358">
        <f>'Income Statement'!CH57/1000</f>
        <v>72564.027367983363</v>
      </c>
      <c r="BB113" s="358">
        <f>'Income Statement'!CI57/1000</f>
        <v>74487.65297920139</v>
      </c>
      <c r="BC113" s="358">
        <f>'Income Statement'!CJ57/1000</f>
        <v>75359.402245999605</v>
      </c>
      <c r="BD113" s="358">
        <f>'Income Statement'!CK57/1000</f>
        <v>82957.979612328461</v>
      </c>
      <c r="BE113" s="358">
        <f>'Income Statement'!CL57/1000</f>
        <v>85502.620300462688</v>
      </c>
      <c r="BF113" s="358">
        <f>'Income Statement'!CM57/1000</f>
        <v>86137.726084192633</v>
      </c>
      <c r="BG113" s="359">
        <f>'Income Statement'!CN57/1000</f>
        <v>92097.436241797477</v>
      </c>
      <c r="BH113" s="358">
        <f>'Income Statement'!CO57/1000</f>
        <v>97358.080392826989</v>
      </c>
      <c r="BI113" s="358">
        <f>'Income Statement'!CP57/1000</f>
        <v>98266.250454414127</v>
      </c>
      <c r="BJ113" s="358">
        <f>'Income Statement'!CQ57/1000</f>
        <v>99612.588411887657</v>
      </c>
      <c r="BK113" s="358">
        <f>'Income Statement'!CR57/1000</f>
        <v>102030.85009852842</v>
      </c>
      <c r="BL113" s="358">
        <f>'Income Statement'!CS57/1000</f>
        <v>110456.626</v>
      </c>
      <c r="BM113" s="358">
        <f>'Income Statement'!CT57/1000</f>
        <v>112802.07399999999</v>
      </c>
      <c r="BN113" s="358">
        <f>'Income Statement'!CU57/1000</f>
        <v>118517.069</v>
      </c>
      <c r="BO113" s="358">
        <f>'Income Statement'!CV57/1000</f>
        <v>121040.906</v>
      </c>
      <c r="BP113" s="358">
        <f>'Income Statement'!CW57/1000</f>
        <v>125930.557</v>
      </c>
      <c r="BQ113" s="358">
        <f>'Income Statement'!CX57/1000</f>
        <v>129988.906</v>
      </c>
      <c r="BR113" s="358">
        <f>'Income Statement'!CY57/1000</f>
        <v>139719.68100000001</v>
      </c>
      <c r="BS113" s="358">
        <f>'Income Statement'!CZ57/1000</f>
        <v>143103.30100000001</v>
      </c>
      <c r="BT113" s="357">
        <f>'Income Statement'!DA57/1000</f>
        <v>149740.9074137765</v>
      </c>
      <c r="BU113" s="357">
        <f>'Income Statement'!DB57/1000</f>
        <v>148926.3792887326</v>
      </c>
      <c r="BV113" s="357">
        <f>'Income Statement'!DC57/1000</f>
        <v>155703.00146705881</v>
      </c>
      <c r="BW113" s="357">
        <f>'Income Statement'!DD57/1000</f>
        <v>155473.75218945788</v>
      </c>
      <c r="BX113" s="357">
        <f>'Income Statement'!DE57/1000</f>
        <v>162317.45110279211</v>
      </c>
      <c r="BY113" s="357">
        <f>'Income Statement'!DF57/1000</f>
        <v>162844.18241222078</v>
      </c>
      <c r="BZ113" s="357">
        <f>'Income Statement'!DG57/1000</f>
        <v>169809.74185965557</v>
      </c>
      <c r="CA113" s="357">
        <f>'Income Statement'!DH57/1000</f>
        <v>170392.55790500535</v>
      </c>
      <c r="CB113" s="357">
        <f>'Income Statement'!DI57/1000</f>
        <v>177088.30969104305</v>
      </c>
      <c r="CC113" s="357">
        <f>'Income Statement'!DJ57/1000</f>
        <v>178289.90226297179</v>
      </c>
      <c r="CD113" s="357">
        <f>'Income Statement'!DK57/1000</f>
        <v>185091.87140814564</v>
      </c>
      <c r="CE113" s="357">
        <f>'Income Statement'!DL57/1000</f>
        <v>186432.10196915836</v>
      </c>
      <c r="CF113" s="357">
        <f>'Income Statement'!DM57/1000</f>
        <v>193133.44925883124</v>
      </c>
      <c r="CG113" s="357">
        <f>'Income Statement'!DN57/1000</f>
        <v>195339.53039797995</v>
      </c>
      <c r="CH113" s="357">
        <f>'Income Statement'!DO57/1000</f>
        <v>202142.23178515112</v>
      </c>
      <c r="CI113" s="357">
        <f>'Income Statement'!DP57/1000</f>
        <v>204573.45119383148</v>
      </c>
      <c r="CJ113" s="357">
        <f>'Income Statement'!DQ57/1000</f>
        <v>211227.91815612896</v>
      </c>
      <c r="CK113" s="357">
        <f>'Income Statement'!DR57/1000</f>
        <v>214697.10795226408</v>
      </c>
      <c r="CL113" s="357">
        <f>'Income Statement'!DS57/1000</f>
        <v>221293.06547324735</v>
      </c>
      <c r="CM113" s="357">
        <f>'Income Statement'!DT57/1000</f>
        <v>225688.12042436725</v>
      </c>
      <c r="CN113" s="357">
        <f>'Income Statement'!DU57/1000</f>
        <v>231854.92947904771</v>
      </c>
      <c r="CO113" s="357">
        <f>'Income Statement'!DV57/1000</f>
        <v>237460.5412174348</v>
      </c>
      <c r="CP113" s="357">
        <f>'Income Statement'!DW57/1000</f>
        <v>243607.18857573156</v>
      </c>
      <c r="CQ113" s="357">
        <f>'Income Statement'!DX57/1000</f>
        <v>250193.96687522999</v>
      </c>
    </row>
    <row r="114" spans="1:95" s="325" customFormat="1" ht="11.25" customHeight="1">
      <c r="A114" s="336" t="s">
        <v>309</v>
      </c>
      <c r="B114" s="334"/>
      <c r="C114" s="334"/>
      <c r="D114" s="334" t="e">
        <f t="shared" ref="D114:U114" si="522">+D113/C113-1</f>
        <v>#DIV/0!</v>
      </c>
      <c r="E114" s="334" t="e">
        <f t="shared" si="522"/>
        <v>#DIV/0!</v>
      </c>
      <c r="F114" s="334" t="e">
        <f t="shared" si="522"/>
        <v>#DIV/0!</v>
      </c>
      <c r="G114" s="334" t="e">
        <f t="shared" si="522"/>
        <v>#DIV/0!</v>
      </c>
      <c r="H114" s="334" t="e">
        <f t="shared" si="522"/>
        <v>#DIV/0!</v>
      </c>
      <c r="I114" s="334" t="e">
        <f t="shared" si="522"/>
        <v>#DIV/0!</v>
      </c>
      <c r="J114" s="334">
        <f t="shared" si="522"/>
        <v>0.24722267844102652</v>
      </c>
      <c r="K114" s="334">
        <f t="shared" si="522"/>
        <v>6.1201620820690472E-2</v>
      </c>
      <c r="L114" s="334">
        <f t="shared" si="522"/>
        <v>0.22210943156315177</v>
      </c>
      <c r="M114" s="334">
        <f t="shared" si="522"/>
        <v>0.1078576588239788</v>
      </c>
      <c r="N114" s="334">
        <f t="shared" si="522"/>
        <v>0.18631674521102282</v>
      </c>
      <c r="O114" s="334">
        <f t="shared" si="522"/>
        <v>0.18227222291280598</v>
      </c>
      <c r="P114" s="333">
        <f t="shared" si="522"/>
        <v>8.6444205710236366E-2</v>
      </c>
      <c r="Q114" s="333">
        <f t="shared" si="522"/>
        <v>9.5957069958455987E-2</v>
      </c>
      <c r="R114" s="333">
        <f t="shared" si="522"/>
        <v>9.4132890904162325E-2</v>
      </c>
      <c r="S114" s="333">
        <f t="shared" si="522"/>
        <v>9.7308076415263844E-2</v>
      </c>
      <c r="T114" s="333">
        <f t="shared" si="522"/>
        <v>0.10321314475224752</v>
      </c>
      <c r="U114" s="333">
        <f t="shared" si="522"/>
        <v>0.10858279294800166</v>
      </c>
      <c r="V114" s="323"/>
      <c r="W114" s="336" t="s">
        <v>309</v>
      </c>
      <c r="X114" s="334">
        <v>0</v>
      </c>
      <c r="Y114" s="334" t="e">
        <f t="shared" ref="Y114:BD114" si="523">+Y113/X113-1</f>
        <v>#DIV/0!</v>
      </c>
      <c r="Z114" s="334" t="e">
        <f t="shared" si="523"/>
        <v>#DIV/0!</v>
      </c>
      <c r="AA114" s="334" t="e">
        <f t="shared" si="523"/>
        <v>#DIV/0!</v>
      </c>
      <c r="AB114" s="334" t="e">
        <f t="shared" si="523"/>
        <v>#DIV/0!</v>
      </c>
      <c r="AC114" s="334" t="e">
        <f t="shared" si="523"/>
        <v>#DIV/0!</v>
      </c>
      <c r="AD114" s="334" t="e">
        <f t="shared" si="523"/>
        <v>#DIV/0!</v>
      </c>
      <c r="AE114" s="334" t="e">
        <f t="shared" si="523"/>
        <v>#DIV/0!</v>
      </c>
      <c r="AF114" s="334" t="e">
        <f t="shared" si="523"/>
        <v>#DIV/0!</v>
      </c>
      <c r="AG114" s="334" t="e">
        <f t="shared" si="523"/>
        <v>#DIV/0!</v>
      </c>
      <c r="AH114" s="334" t="e">
        <f t="shared" si="523"/>
        <v>#DIV/0!</v>
      </c>
      <c r="AI114" s="334" t="e">
        <f t="shared" si="523"/>
        <v>#DIV/0!</v>
      </c>
      <c r="AJ114" s="334" t="e">
        <f t="shared" si="523"/>
        <v>#DIV/0!</v>
      </c>
      <c r="AK114" s="334" t="e">
        <f t="shared" si="523"/>
        <v>#DIV/0!</v>
      </c>
      <c r="AL114" s="334" t="e">
        <f t="shared" si="523"/>
        <v>#DIV/0!</v>
      </c>
      <c r="AM114" s="334" t="e">
        <f t="shared" si="523"/>
        <v>#DIV/0!</v>
      </c>
      <c r="AN114" s="334" t="e">
        <f t="shared" si="523"/>
        <v>#DIV/0!</v>
      </c>
      <c r="AO114" s="334" t="e">
        <f t="shared" si="523"/>
        <v>#DIV/0!</v>
      </c>
      <c r="AP114" s="334" t="e">
        <f t="shared" si="523"/>
        <v>#DIV/0!</v>
      </c>
      <c r="AQ114" s="334" t="e">
        <f t="shared" si="523"/>
        <v>#DIV/0!</v>
      </c>
      <c r="AR114" s="334" t="e">
        <f t="shared" si="523"/>
        <v>#DIV/0!</v>
      </c>
      <c r="AS114" s="334">
        <f t="shared" si="523"/>
        <v>-5.726043387079538E-2</v>
      </c>
      <c r="AT114" s="334">
        <f t="shared" si="523"/>
        <v>-5.0621990327872624E-2</v>
      </c>
      <c r="AU114" s="334">
        <f t="shared" si="523"/>
        <v>7.5274268908176456E-2</v>
      </c>
      <c r="AV114" s="334">
        <f t="shared" si="523"/>
        <v>3.1530242091618144E-2</v>
      </c>
      <c r="AW114" s="334">
        <f t="shared" si="523"/>
        <v>2.0478799859829033E-2</v>
      </c>
      <c r="AX114" s="334">
        <f t="shared" si="523"/>
        <v>0.11649170221160654</v>
      </c>
      <c r="AY114" s="334">
        <f t="shared" si="523"/>
        <v>6.1212965875786729E-2</v>
      </c>
      <c r="AZ114" s="334">
        <f t="shared" si="523"/>
        <v>4.2000479955459857E-2</v>
      </c>
      <c r="BA114" s="334">
        <f t="shared" si="523"/>
        <v>-1.9350256400997523E-2</v>
      </c>
      <c r="BB114" s="334">
        <f t="shared" si="523"/>
        <v>2.6509355682024394E-2</v>
      </c>
      <c r="BC114" s="334">
        <f t="shared" si="523"/>
        <v>1.1703272044853108E-2</v>
      </c>
      <c r="BD114" s="334">
        <f t="shared" si="523"/>
        <v>0.10083117885575077</v>
      </c>
      <c r="BE114" s="334">
        <f t="shared" ref="BE114:CI114" si="524">+BE113/BD113-1</f>
        <v>3.0673850785971402E-2</v>
      </c>
      <c r="BF114" s="334">
        <f t="shared" si="524"/>
        <v>7.4279101798067071E-3</v>
      </c>
      <c r="BG114" s="335">
        <f t="shared" si="524"/>
        <v>6.9188152840019335E-2</v>
      </c>
      <c r="BH114" s="334">
        <f t="shared" si="524"/>
        <v>5.7120419044216719E-2</v>
      </c>
      <c r="BI114" s="334">
        <f t="shared" si="524"/>
        <v>9.3281426454054905E-3</v>
      </c>
      <c r="BJ114" s="334">
        <f t="shared" si="524"/>
        <v>1.3700919199090666E-2</v>
      </c>
      <c r="BK114" s="334">
        <f t="shared" si="524"/>
        <v>2.4276667489469439E-2</v>
      </c>
      <c r="BL114" s="334">
        <f t="shared" si="524"/>
        <v>8.2580669408664598E-2</v>
      </c>
      <c r="BM114" s="334">
        <f t="shared" si="524"/>
        <v>2.1234108671760454E-2</v>
      </c>
      <c r="BN114" s="334">
        <f t="shared" si="524"/>
        <v>5.0663917757398869E-2</v>
      </c>
      <c r="BO114" s="334">
        <f t="shared" si="524"/>
        <v>2.1295135133657439E-2</v>
      </c>
      <c r="BP114" s="334">
        <f t="shared" si="524"/>
        <v>4.0396682093572611E-2</v>
      </c>
      <c r="BQ114" s="334">
        <f t="shared" si="524"/>
        <v>3.2226880406794445E-2</v>
      </c>
      <c r="BR114" s="334">
        <f t="shared" si="524"/>
        <v>7.4858503694153811E-2</v>
      </c>
      <c r="BS114" s="334">
        <f t="shared" si="524"/>
        <v>2.421720387409132E-2</v>
      </c>
      <c r="BT114" s="333">
        <f t="shared" si="524"/>
        <v>4.6383321470526262E-2</v>
      </c>
      <c r="BU114" s="333">
        <f t="shared" si="524"/>
        <v>-5.4395832048294013E-3</v>
      </c>
      <c r="BV114" s="333">
        <f t="shared" si="524"/>
        <v>4.5503168818654904E-2</v>
      </c>
      <c r="BW114" s="333">
        <f t="shared" si="524"/>
        <v>-1.4723497648786443E-3</v>
      </c>
      <c r="BX114" s="333">
        <f t="shared" si="524"/>
        <v>4.4018355619246829E-2</v>
      </c>
      <c r="BY114" s="333">
        <f t="shared" si="524"/>
        <v>3.2450688810723438E-3</v>
      </c>
      <c r="BZ114" s="333">
        <f t="shared" si="524"/>
        <v>4.2774383120437687E-2</v>
      </c>
      <c r="CA114" s="333">
        <f t="shared" si="524"/>
        <v>3.4321708458369127E-3</v>
      </c>
      <c r="CB114" s="333">
        <f t="shared" si="524"/>
        <v>3.9296034218645914E-2</v>
      </c>
      <c r="CC114" s="333">
        <f t="shared" si="524"/>
        <v>6.7852732573092656E-3</v>
      </c>
      <c r="CD114" s="333">
        <f t="shared" si="524"/>
        <v>3.8151174344922545E-2</v>
      </c>
      <c r="CE114" s="333">
        <f t="shared" si="524"/>
        <v>7.2408936752137443E-3</v>
      </c>
      <c r="CF114" s="333">
        <f t="shared" si="524"/>
        <v>3.5945243436570129E-2</v>
      </c>
      <c r="CG114" s="333">
        <f t="shared" si="524"/>
        <v>1.1422574119681395E-2</v>
      </c>
      <c r="CH114" s="333">
        <f t="shared" si="524"/>
        <v>3.482501147264716E-2</v>
      </c>
      <c r="CI114" s="333">
        <f t="shared" si="524"/>
        <v>1.2027271031935571E-2</v>
      </c>
      <c r="CJ114" s="333">
        <f t="shared" ref="CJ114" si="525">+CJ113/CI113-1</f>
        <v>3.2528497336599349E-2</v>
      </c>
      <c r="CK114" s="333">
        <f t="shared" ref="CK114" si="526">+CK113/CJ113-1</f>
        <v>1.6423917001212374E-2</v>
      </c>
      <c r="CL114" s="333">
        <f t="shared" ref="CL114" si="527">+CL113/CK113-1</f>
        <v>3.0722153567386723E-2</v>
      </c>
      <c r="CM114" s="333">
        <f t="shared" ref="CM114" si="528">+CM113/CL113-1</f>
        <v>1.9860789319000371E-2</v>
      </c>
      <c r="CN114" s="333">
        <f t="shared" ref="CN114" si="529">+CN113/CM113-1</f>
        <v>2.7324473450728526E-2</v>
      </c>
      <c r="CO114" s="333">
        <f t="shared" ref="CO114" si="530">+CO113/CN113-1</f>
        <v>2.4177237684712027E-2</v>
      </c>
      <c r="CP114" s="333">
        <f t="shared" ref="CP114" si="531">+CP113/CO113-1</f>
        <v>2.5884921034810882E-2</v>
      </c>
      <c r="CQ114" s="333">
        <f t="shared" ref="CQ114" si="532">+CQ113/CP113-1</f>
        <v>2.7038521884384936E-2</v>
      </c>
    </row>
    <row r="115" spans="1:95" s="325" customFormat="1" ht="11.25" customHeight="1">
      <c r="A115" s="329" t="s">
        <v>310</v>
      </c>
      <c r="B115" s="346"/>
      <c r="C115" s="346">
        <f>'Income Statement'!H67/1000</f>
        <v>0</v>
      </c>
      <c r="D115" s="346">
        <f>'Income Statement'!I67/1000</f>
        <v>0</v>
      </c>
      <c r="E115" s="346">
        <f>'Income Statement'!J67/1000</f>
        <v>0</v>
      </c>
      <c r="F115" s="346">
        <f>'Income Statement'!K67/1000</f>
        <v>0</v>
      </c>
      <c r="G115" s="346">
        <f>'Income Statement'!L67/1000</f>
        <v>0</v>
      </c>
      <c r="H115" s="346">
        <f>'Income Statement'!M67/1000</f>
        <v>0</v>
      </c>
      <c r="I115" s="346">
        <f>'Income Statement'!N67/1000</f>
        <v>41739.200726616895</v>
      </c>
      <c r="J115" s="346">
        <f>'Income Statement'!O67/1000</f>
        <v>53491.876794038952</v>
      </c>
      <c r="K115" s="346">
        <f>'Income Statement'!P67/1000</f>
        <v>53081.94941337248</v>
      </c>
      <c r="L115" s="346">
        <f>'Income Statement'!Q67/1000</f>
        <v>65847.8590357215</v>
      </c>
      <c r="M115" s="346">
        <f>'Income Statement'!R67/1000</f>
        <v>74389.499917972207</v>
      </c>
      <c r="N115" s="346">
        <f>'Income Statement'!S67/1000</f>
        <v>87991.57</v>
      </c>
      <c r="O115" s="346">
        <f>'Income Statement'!T67/1000</f>
        <v>101810.624</v>
      </c>
      <c r="P115" s="345">
        <f ca="1">'Income Statement'!U67/1000</f>
        <v>116710.0826580696</v>
      </c>
      <c r="Q115" s="345">
        <f ca="1">'Income Statement'!V67/1000</f>
        <v>127007.83374412678</v>
      </c>
      <c r="R115" s="345">
        <f ca="1">'Income Statement'!W67/1000</f>
        <v>137332.22314410971</v>
      </c>
      <c r="S115" s="345">
        <f ca="1">'Income Statement'!X67/1000</f>
        <v>148962.24066080153</v>
      </c>
      <c r="T115" s="345">
        <f ca="1">'Income Statement'!Y67/1000</f>
        <v>162785.28464487838</v>
      </c>
      <c r="U115" s="345">
        <f ca="1">'Income Statement'!Z67/1000</f>
        <v>179112.41546907724</v>
      </c>
      <c r="V115" s="323"/>
      <c r="W115" s="329" t="s">
        <v>310</v>
      </c>
      <c r="X115" s="358">
        <f>'Income Statement'!BE67/1000</f>
        <v>0</v>
      </c>
      <c r="Y115" s="358">
        <f>'Income Statement'!BF67/1000</f>
        <v>0</v>
      </c>
      <c r="Z115" s="358">
        <f>'Income Statement'!BG67/1000</f>
        <v>0</v>
      </c>
      <c r="AA115" s="358">
        <f>'Income Statement'!BH67/1000</f>
        <v>0</v>
      </c>
      <c r="AB115" s="358">
        <f>'Income Statement'!BI67/1000</f>
        <v>0</v>
      </c>
      <c r="AC115" s="358">
        <f>'Income Statement'!BJ67/1000</f>
        <v>0</v>
      </c>
      <c r="AD115" s="358">
        <f>'Income Statement'!BK67/1000</f>
        <v>0</v>
      </c>
      <c r="AE115" s="358">
        <f>'Income Statement'!BL67/1000</f>
        <v>0</v>
      </c>
      <c r="AF115" s="358">
        <f>'Income Statement'!BM67/1000</f>
        <v>0</v>
      </c>
      <c r="AG115" s="358">
        <f>'Income Statement'!BN67/1000</f>
        <v>0</v>
      </c>
      <c r="AH115" s="358">
        <f>'Income Statement'!BO67/1000</f>
        <v>0</v>
      </c>
      <c r="AI115" s="358">
        <f>'Income Statement'!BP67/1000</f>
        <v>0</v>
      </c>
      <c r="AJ115" s="358">
        <f>'Income Statement'!BQ67/1000</f>
        <v>0</v>
      </c>
      <c r="AK115" s="358">
        <f>'Income Statement'!BR67/1000</f>
        <v>0</v>
      </c>
      <c r="AL115" s="358">
        <f>'Income Statement'!BS67/1000</f>
        <v>0</v>
      </c>
      <c r="AM115" s="358">
        <f>'Income Statement'!BT67/1000</f>
        <v>0</v>
      </c>
      <c r="AN115" s="358">
        <f>'Income Statement'!BU67/1000</f>
        <v>0</v>
      </c>
      <c r="AO115" s="358">
        <f>'Income Statement'!BV67/1000</f>
        <v>0</v>
      </c>
      <c r="AP115" s="358">
        <f>'Income Statement'!BW67/1000</f>
        <v>0</v>
      </c>
      <c r="AQ115" s="358">
        <f>'Income Statement'!BX67/1000</f>
        <v>0</v>
      </c>
      <c r="AR115" s="358">
        <f>'Income Statement'!BY67/1000</f>
        <v>40941.58300614333</v>
      </c>
      <c r="AS115" s="358">
        <f>'Income Statement'!BZ67/1000</f>
        <v>38348.221071050801</v>
      </c>
      <c r="AT115" s="358">
        <f>'Income Statement'!CA67/1000</f>
        <v>37210.119732509636</v>
      </c>
      <c r="AU115" s="358">
        <f>'Income Statement'!CB67/1000</f>
        <v>41739.200726616895</v>
      </c>
      <c r="AV115" s="358">
        <f>'Income Statement'!CC67/1000</f>
        <v>42337.541176175619</v>
      </c>
      <c r="AW115" s="358">
        <f>'Income Statement'!CD67/1000</f>
        <v>42618.981163461125</v>
      </c>
      <c r="AX115" s="358">
        <f>'Income Statement'!CE67/1000</f>
        <v>48589.941975176662</v>
      </c>
      <c r="AY115" s="358">
        <f>'Income Statement'!CF67/1000</f>
        <v>53491.876794038952</v>
      </c>
      <c r="AZ115" s="358">
        <f>'Income Statement'!CG67/1000</f>
        <v>53675.977144529315</v>
      </c>
      <c r="BA115" s="358">
        <f>'Income Statement'!CH67/1000</f>
        <v>52371.044170547088</v>
      </c>
      <c r="BB115" s="358">
        <f>'Income Statement'!CI67/1000</f>
        <v>52936.289861640384</v>
      </c>
      <c r="BC115" s="358">
        <f>'Income Statement'!CJ67/1000</f>
        <v>53081.94941337248</v>
      </c>
      <c r="BD115" s="358">
        <f>'Income Statement'!CK67/1000</f>
        <v>58200.373781722185</v>
      </c>
      <c r="BE115" s="358">
        <f>'Income Statement'!CL67/1000</f>
        <v>60683.902945628557</v>
      </c>
      <c r="BF115" s="358">
        <f>'Income Statement'!CM67/1000</f>
        <v>61480.83887241708</v>
      </c>
      <c r="BG115" s="359">
        <f>'Income Statement'!CN67/1000</f>
        <v>65847.8590357215</v>
      </c>
      <c r="BH115" s="358">
        <f>'Income Statement'!CO67/1000</f>
        <v>70517.13231816281</v>
      </c>
      <c r="BI115" s="358">
        <f>'Income Statement'!CP67/1000</f>
        <v>73173.6977120097</v>
      </c>
      <c r="BJ115" s="358">
        <f>'Income Statement'!CQ67/1000</f>
        <v>72761.677185527544</v>
      </c>
      <c r="BK115" s="358">
        <f>'Income Statement'!CR67/1000</f>
        <v>74389.499917972207</v>
      </c>
      <c r="BL115" s="358">
        <f>'Income Statement'!CS67/1000</f>
        <v>81052.532999999996</v>
      </c>
      <c r="BM115" s="358">
        <f>'Income Statement'!CT67/1000</f>
        <v>82664.826000000001</v>
      </c>
      <c r="BN115" s="358">
        <f>'Income Statement'!CU67/1000</f>
        <v>87193.107000000004</v>
      </c>
      <c r="BO115" s="358">
        <f>'Income Statement'!CV67/1000</f>
        <v>87991.57</v>
      </c>
      <c r="BP115" s="358">
        <f>'Income Statement'!CW67/1000</f>
        <v>91267.046000000002</v>
      </c>
      <c r="BQ115" s="358">
        <f>'Income Statement'!CX67/1000</f>
        <v>92149.827000000005</v>
      </c>
      <c r="BR115" s="358">
        <f>'Income Statement'!CY67/1000</f>
        <v>101004.558</v>
      </c>
      <c r="BS115" s="358">
        <f>'Income Statement'!CZ67/1000</f>
        <v>101810.624</v>
      </c>
      <c r="BT115" s="357">
        <f ca="1">'Income Statement'!DA67/1000</f>
        <v>115175.43895490465</v>
      </c>
      <c r="BU115" s="357">
        <f ca="1">'Income Statement'!DB67/1000</f>
        <v>112750.12651819467</v>
      </c>
      <c r="BV115" s="357">
        <f ca="1">'Income Statement'!DC67/1000</f>
        <v>118472.46657385358</v>
      </c>
      <c r="BW115" s="357">
        <f ca="1">'Income Statement'!DD67/1000</f>
        <v>116710.0826580696</v>
      </c>
      <c r="BX115" s="357">
        <f ca="1">'Income Statement'!DE67/1000</f>
        <v>123391.95929355721</v>
      </c>
      <c r="BY115" s="357">
        <f ca="1">'Income Statement'!DF67/1000</f>
        <v>122374.60252649608</v>
      </c>
      <c r="BZ115" s="357">
        <f ca="1">'Income Statement'!DG67/1000</f>
        <v>128182.54310784575</v>
      </c>
      <c r="CA115" s="357">
        <f ca="1">'Income Statement'!DH67/1000</f>
        <v>127007.83374412678</v>
      </c>
      <c r="CB115" s="357">
        <f ca="1">'Income Statement'!DI67/1000</f>
        <v>133355.11120175078</v>
      </c>
      <c r="CC115" s="357">
        <f ca="1">'Income Statement'!DJ67/1000</f>
        <v>132754.18047430782</v>
      </c>
      <c r="CD115" s="357">
        <f ca="1">'Income Statement'!DK67/1000</f>
        <v>138032.59418582497</v>
      </c>
      <c r="CE115" s="357">
        <f ca="1">'Income Statement'!DL67/1000</f>
        <v>137332.22314410971</v>
      </c>
      <c r="CF115" s="357">
        <f ca="1">'Income Statement'!DM67/1000</f>
        <v>143582.88880129124</v>
      </c>
      <c r="CG115" s="357">
        <f ca="1">'Income Statement'!DN67/1000</f>
        <v>143757.62975332458</v>
      </c>
      <c r="CH115" s="357">
        <f ca="1">'Income Statement'!DO67/1000</f>
        <v>148750.06049933319</v>
      </c>
      <c r="CI115" s="357">
        <f ca="1">'Income Statement'!DP67/1000</f>
        <v>148962.2406608015</v>
      </c>
      <c r="CJ115" s="357">
        <f ca="1">'Income Statement'!DQ67/1000</f>
        <v>155064.45453546598</v>
      </c>
      <c r="CK115" s="357">
        <f ca="1">'Income Statement'!DR67/1000</f>
        <v>156309.15727149998</v>
      </c>
      <c r="CL115" s="357">
        <f ca="1">'Income Statement'!DS67/1000</f>
        <v>160781.26306792538</v>
      </c>
      <c r="CM115" s="357">
        <f ca="1">'Income Statement'!DT67/1000</f>
        <v>162785.28464487838</v>
      </c>
      <c r="CN115" s="357">
        <f ca="1">'Income Statement'!DU67/1000</f>
        <v>168272.27725975751</v>
      </c>
      <c r="CO115" s="357">
        <f ca="1">'Income Statement'!DV67/1000</f>
        <v>171487.86725593329</v>
      </c>
      <c r="CP115" s="357">
        <f ca="1">'Income Statement'!DW67/1000</f>
        <v>175122.28644403929</v>
      </c>
      <c r="CQ115" s="357">
        <f ca="1">'Income Statement'!DX67/1000</f>
        <v>179112.41546907724</v>
      </c>
    </row>
    <row r="116" spans="1:95" s="325" customFormat="1" ht="11.25" customHeight="1">
      <c r="A116" s="336" t="s">
        <v>309</v>
      </c>
      <c r="B116" s="334"/>
      <c r="C116" s="334"/>
      <c r="D116" s="334" t="e">
        <f t="shared" ref="D116:U116" si="533">+D115/C115-1</f>
        <v>#DIV/0!</v>
      </c>
      <c r="E116" s="334" t="e">
        <f t="shared" si="533"/>
        <v>#DIV/0!</v>
      </c>
      <c r="F116" s="334" t="e">
        <f t="shared" si="533"/>
        <v>#DIV/0!</v>
      </c>
      <c r="G116" s="334" t="e">
        <f t="shared" si="533"/>
        <v>#DIV/0!</v>
      </c>
      <c r="H116" s="334" t="e">
        <f t="shared" si="533"/>
        <v>#DIV/0!</v>
      </c>
      <c r="I116" s="334" t="e">
        <f t="shared" si="533"/>
        <v>#DIV/0!</v>
      </c>
      <c r="J116" s="334">
        <f t="shared" si="533"/>
        <v>0.28157405659010215</v>
      </c>
      <c r="K116" s="334">
        <f t="shared" si="533"/>
        <v>-7.6633576018434457E-3</v>
      </c>
      <c r="L116" s="334">
        <f t="shared" si="533"/>
        <v>0.24049436321441897</v>
      </c>
      <c r="M116" s="334">
        <f t="shared" si="533"/>
        <v>0.1297178223762292</v>
      </c>
      <c r="N116" s="334">
        <f t="shared" si="533"/>
        <v>0.18284932815822841</v>
      </c>
      <c r="O116" s="334">
        <f t="shared" si="533"/>
        <v>0.15704974919756509</v>
      </c>
      <c r="P116" s="333">
        <f t="shared" ca="1" si="533"/>
        <v>0.1463448319309939</v>
      </c>
      <c r="Q116" s="333">
        <f t="shared" ca="1" si="533"/>
        <v>8.823360288610993E-2</v>
      </c>
      <c r="R116" s="333">
        <f t="shared" ca="1" si="533"/>
        <v>8.1289390548796359E-2</v>
      </c>
      <c r="S116" s="333">
        <f t="shared" ca="1" si="533"/>
        <v>8.4685278155643307E-2</v>
      </c>
      <c r="T116" s="333">
        <f t="shared" ca="1" si="533"/>
        <v>9.2795623392595061E-2</v>
      </c>
      <c r="U116" s="333">
        <f t="shared" ca="1" si="533"/>
        <v>0.10029856728031072</v>
      </c>
      <c r="V116" s="323"/>
      <c r="W116" s="336" t="s">
        <v>309</v>
      </c>
      <c r="X116" s="334" t="e">
        <f t="shared" ref="X116:BC116" si="534">+X115/W115-1</f>
        <v>#VALUE!</v>
      </c>
      <c r="Y116" s="334" t="e">
        <f t="shared" si="534"/>
        <v>#DIV/0!</v>
      </c>
      <c r="Z116" s="334" t="e">
        <f t="shared" si="534"/>
        <v>#DIV/0!</v>
      </c>
      <c r="AA116" s="334" t="e">
        <f t="shared" si="534"/>
        <v>#DIV/0!</v>
      </c>
      <c r="AB116" s="334" t="e">
        <f t="shared" si="534"/>
        <v>#DIV/0!</v>
      </c>
      <c r="AC116" s="334" t="e">
        <f t="shared" si="534"/>
        <v>#DIV/0!</v>
      </c>
      <c r="AD116" s="334" t="e">
        <f t="shared" si="534"/>
        <v>#DIV/0!</v>
      </c>
      <c r="AE116" s="334" t="e">
        <f t="shared" si="534"/>
        <v>#DIV/0!</v>
      </c>
      <c r="AF116" s="334" t="e">
        <f t="shared" si="534"/>
        <v>#DIV/0!</v>
      </c>
      <c r="AG116" s="334" t="e">
        <f t="shared" si="534"/>
        <v>#DIV/0!</v>
      </c>
      <c r="AH116" s="334" t="e">
        <f t="shared" si="534"/>
        <v>#DIV/0!</v>
      </c>
      <c r="AI116" s="334" t="e">
        <f t="shared" si="534"/>
        <v>#DIV/0!</v>
      </c>
      <c r="AJ116" s="334" t="e">
        <f t="shared" si="534"/>
        <v>#DIV/0!</v>
      </c>
      <c r="AK116" s="334" t="e">
        <f t="shared" si="534"/>
        <v>#DIV/0!</v>
      </c>
      <c r="AL116" s="334" t="e">
        <f t="shared" si="534"/>
        <v>#DIV/0!</v>
      </c>
      <c r="AM116" s="334" t="e">
        <f t="shared" si="534"/>
        <v>#DIV/0!</v>
      </c>
      <c r="AN116" s="334" t="e">
        <f t="shared" si="534"/>
        <v>#DIV/0!</v>
      </c>
      <c r="AO116" s="334" t="e">
        <f t="shared" si="534"/>
        <v>#DIV/0!</v>
      </c>
      <c r="AP116" s="334" t="e">
        <f t="shared" si="534"/>
        <v>#DIV/0!</v>
      </c>
      <c r="AQ116" s="334" t="e">
        <f t="shared" si="534"/>
        <v>#DIV/0!</v>
      </c>
      <c r="AR116" s="334" t="e">
        <f t="shared" si="534"/>
        <v>#DIV/0!</v>
      </c>
      <c r="AS116" s="334">
        <f t="shared" si="534"/>
        <v>-6.3342981503753615E-2</v>
      </c>
      <c r="AT116" s="334">
        <f t="shared" si="534"/>
        <v>-2.9678073891159507E-2</v>
      </c>
      <c r="AU116" s="334">
        <f t="shared" si="534"/>
        <v>0.12171637787422385</v>
      </c>
      <c r="AV116" s="334">
        <f t="shared" si="534"/>
        <v>1.4335215795763023E-2</v>
      </c>
      <c r="AW116" s="334">
        <f t="shared" si="534"/>
        <v>6.6475279259694542E-3</v>
      </c>
      <c r="AX116" s="334">
        <f t="shared" si="534"/>
        <v>0.14010097493448925</v>
      </c>
      <c r="AY116" s="334">
        <f t="shared" si="534"/>
        <v>0.100883734773064</v>
      </c>
      <c r="AZ116" s="334">
        <f t="shared" si="534"/>
        <v>3.4416506117220802E-3</v>
      </c>
      <c r="BA116" s="334">
        <f t="shared" si="534"/>
        <v>-2.4311303555192509E-2</v>
      </c>
      <c r="BB116" s="334">
        <f t="shared" si="534"/>
        <v>1.0793095689529686E-2</v>
      </c>
      <c r="BC116" s="334">
        <f t="shared" si="534"/>
        <v>2.7516010682426817E-3</v>
      </c>
      <c r="BD116" s="334">
        <f t="shared" ref="BD116:CI116" si="535">+BD115/BC115-1</f>
        <v>9.6424950946889298E-2</v>
      </c>
      <c r="BE116" s="334">
        <f t="shared" si="535"/>
        <v>4.2672048348361802E-2</v>
      </c>
      <c r="BF116" s="334">
        <f t="shared" si="535"/>
        <v>1.3132575330603968E-2</v>
      </c>
      <c r="BG116" s="335">
        <f t="shared" si="535"/>
        <v>7.1030588446698184E-2</v>
      </c>
      <c r="BH116" s="334">
        <f t="shared" si="535"/>
        <v>7.0910024271378269E-2</v>
      </c>
      <c r="BI116" s="334">
        <f t="shared" si="535"/>
        <v>3.767262375135827E-2</v>
      </c>
      <c r="BJ116" s="334">
        <f t="shared" si="535"/>
        <v>-5.6307189518254308E-3</v>
      </c>
      <c r="BK116" s="334">
        <f t="shared" si="535"/>
        <v>2.2371979253502428E-2</v>
      </c>
      <c r="BL116" s="334">
        <f t="shared" si="535"/>
        <v>8.95695372246752E-2</v>
      </c>
      <c r="BM116" s="334">
        <f t="shared" si="535"/>
        <v>1.9891950816638859E-2</v>
      </c>
      <c r="BN116" s="334">
        <f t="shared" si="535"/>
        <v>5.4778812454041814E-2</v>
      </c>
      <c r="BO116" s="334">
        <f t="shared" si="535"/>
        <v>9.1574096562472285E-3</v>
      </c>
      <c r="BP116" s="334">
        <f t="shared" si="535"/>
        <v>3.7224884156516369E-2</v>
      </c>
      <c r="BQ116" s="334">
        <f t="shared" si="535"/>
        <v>9.6725054517488029E-3</v>
      </c>
      <c r="BR116" s="334">
        <f t="shared" si="535"/>
        <v>9.6090587343153677E-2</v>
      </c>
      <c r="BS116" s="334">
        <f t="shared" si="535"/>
        <v>7.9804913358463292E-3</v>
      </c>
      <c r="BT116" s="333">
        <f t="shared" ca="1" si="535"/>
        <v>0.13127131953247484</v>
      </c>
      <c r="BU116" s="333">
        <f t="shared" ca="1" si="535"/>
        <v>-2.1057548889911959E-2</v>
      </c>
      <c r="BV116" s="333">
        <f t="shared" ca="1" si="535"/>
        <v>5.0752404741075896E-2</v>
      </c>
      <c r="BW116" s="333">
        <f t="shared" ca="1" si="535"/>
        <v>-1.4875894515839594E-2</v>
      </c>
      <c r="BX116" s="333">
        <f t="shared" ca="1" si="535"/>
        <v>5.7251922741446304E-2</v>
      </c>
      <c r="BY116" s="333">
        <f t="shared" ca="1" si="535"/>
        <v>-8.2449194654635738E-3</v>
      </c>
      <c r="BZ116" s="333">
        <f t="shared" ca="1" si="535"/>
        <v>4.7460342762642771E-2</v>
      </c>
      <c r="CA116" s="333">
        <f t="shared" ca="1" si="535"/>
        <v>-9.1643474629039545E-3</v>
      </c>
      <c r="CB116" s="333">
        <f t="shared" ca="1" si="535"/>
        <v>4.997548001969232E-2</v>
      </c>
      <c r="CC116" s="333">
        <f t="shared" ca="1" si="535"/>
        <v>-4.5062444328348716E-3</v>
      </c>
      <c r="CD116" s="333">
        <f t="shared" ca="1" si="535"/>
        <v>3.9760809736147484E-2</v>
      </c>
      <c r="CE116" s="333">
        <f t="shared" ca="1" si="535"/>
        <v>-5.0739540602445787E-3</v>
      </c>
      <c r="CF116" s="333">
        <f t="shared" ca="1" si="535"/>
        <v>4.551492369436394E-2</v>
      </c>
      <c r="CG116" s="333">
        <f t="shared" ca="1" si="535"/>
        <v>1.2170040141425975E-3</v>
      </c>
      <c r="CH116" s="333">
        <f t="shared" ca="1" si="535"/>
        <v>3.4728109767635962E-2</v>
      </c>
      <c r="CI116" s="333">
        <f t="shared" ca="1" si="535"/>
        <v>1.4264206734171392E-3</v>
      </c>
      <c r="CJ116" s="333">
        <f t="shared" ref="CJ116" ca="1" si="536">+CJ115/CI115-1</f>
        <v>4.0964836777393154E-2</v>
      </c>
      <c r="CK116" s="333">
        <f t="shared" ref="CK116" ca="1" si="537">+CK115/CJ115-1</f>
        <v>8.0270023182476002E-3</v>
      </c>
      <c r="CL116" s="333">
        <f t="shared" ref="CL116" ca="1" si="538">+CL115/CK115-1</f>
        <v>2.8610644919910833E-2</v>
      </c>
      <c r="CM116" s="333">
        <f t="shared" ref="CM116" ca="1" si="539">+CM115/CL115-1</f>
        <v>1.2464273129303427E-2</v>
      </c>
      <c r="CN116" s="333">
        <f t="shared" ref="CN116" ca="1" si="540">+CN115/CM115-1</f>
        <v>3.3706932582076909E-2</v>
      </c>
      <c r="CO116" s="333">
        <f t="shared" ref="CO116" ca="1" si="541">+CO115/CN115-1</f>
        <v>1.910944600346709E-2</v>
      </c>
      <c r="CP116" s="333">
        <f t="shared" ref="CP116" ca="1" si="542">+CP115/CO115-1</f>
        <v>2.1193447946272981E-2</v>
      </c>
      <c r="CQ116" s="333">
        <f t="shared" ref="CQ116" ca="1" si="543">+CQ115/CP115-1</f>
        <v>2.27848157196886E-2</v>
      </c>
    </row>
    <row r="117" spans="1:95" s="325" customFormat="1" ht="11.25" customHeight="1">
      <c r="A117" s="365"/>
      <c r="P117" s="326"/>
      <c r="Q117" s="326"/>
      <c r="R117" s="326"/>
      <c r="S117" s="326"/>
      <c r="T117" s="326"/>
      <c r="U117" s="326"/>
      <c r="V117" s="323"/>
      <c r="W117" s="365"/>
      <c r="X117" s="365"/>
      <c r="Y117" s="365"/>
      <c r="Z117" s="365"/>
      <c r="AA117" s="365"/>
      <c r="AB117" s="365"/>
      <c r="AC117" s="365"/>
      <c r="AD117" s="365"/>
      <c r="AE117" s="365"/>
      <c r="AF117" s="365"/>
      <c r="AG117" s="365"/>
      <c r="AH117" s="365"/>
      <c r="AI117" s="365"/>
      <c r="AJ117" s="365"/>
      <c r="AK117" s="365"/>
      <c r="AL117" s="365"/>
      <c r="AM117" s="365"/>
      <c r="AN117" s="365"/>
      <c r="AO117" s="365"/>
      <c r="AP117" s="365"/>
      <c r="AQ117" s="365"/>
      <c r="AR117" s="365"/>
      <c r="AS117" s="365"/>
      <c r="AT117" s="365"/>
      <c r="AU117" s="365"/>
      <c r="AV117" s="365"/>
      <c r="AW117" s="365"/>
      <c r="AX117" s="365"/>
      <c r="AY117" s="365"/>
      <c r="AZ117" s="365"/>
      <c r="BA117" s="365"/>
      <c r="BB117" s="365"/>
      <c r="BC117" s="365"/>
      <c r="BD117" s="365"/>
      <c r="BE117" s="365"/>
      <c r="BF117" s="365"/>
      <c r="BG117" s="366"/>
      <c r="BH117" s="365"/>
      <c r="BI117" s="365"/>
      <c r="BJ117" s="365"/>
      <c r="BK117" s="365"/>
      <c r="BL117" s="365"/>
      <c r="BM117" s="365"/>
      <c r="BN117" s="365"/>
      <c r="BO117" s="365"/>
      <c r="BP117" s="365"/>
      <c r="BQ117" s="365"/>
      <c r="BR117" s="365"/>
      <c r="BS117" s="365"/>
      <c r="BT117" s="364"/>
      <c r="BU117" s="364"/>
      <c r="BV117" s="364"/>
      <c r="BW117" s="364"/>
      <c r="BX117" s="364"/>
      <c r="BY117" s="364"/>
      <c r="BZ117" s="364"/>
      <c r="CA117" s="364"/>
      <c r="CB117" s="364"/>
      <c r="CC117" s="364"/>
      <c r="CD117" s="364"/>
      <c r="CE117" s="364"/>
      <c r="CF117" s="364"/>
      <c r="CG117" s="364"/>
      <c r="CH117" s="364"/>
      <c r="CI117" s="364"/>
      <c r="CJ117" s="364"/>
      <c r="CK117" s="364"/>
      <c r="CL117" s="364"/>
      <c r="CM117" s="364"/>
      <c r="CN117" s="364"/>
      <c r="CO117" s="364"/>
      <c r="CP117" s="364"/>
      <c r="CQ117" s="364"/>
    </row>
    <row r="118" spans="1:95" s="325" customFormat="1" ht="11.25" customHeight="1">
      <c r="A118" s="354" t="s">
        <v>308</v>
      </c>
      <c r="B118" s="299">
        <f t="shared" ref="B118:S118" si="544">+B96</f>
        <v>2002</v>
      </c>
      <c r="C118" s="299">
        <f t="shared" si="544"/>
        <v>2003</v>
      </c>
      <c r="D118" s="299">
        <f t="shared" si="544"/>
        <v>2004</v>
      </c>
      <c r="E118" s="299">
        <f t="shared" si="544"/>
        <v>2005</v>
      </c>
      <c r="F118" s="299">
        <f t="shared" si="544"/>
        <v>2006</v>
      </c>
      <c r="G118" s="299">
        <f t="shared" si="544"/>
        <v>2007</v>
      </c>
      <c r="H118" s="299">
        <f t="shared" si="544"/>
        <v>2008</v>
      </c>
      <c r="I118" s="299">
        <f t="shared" si="544"/>
        <v>2009</v>
      </c>
      <c r="J118" s="299">
        <f t="shared" si="544"/>
        <v>2010</v>
      </c>
      <c r="K118" s="299">
        <f t="shared" si="544"/>
        <v>2011</v>
      </c>
      <c r="L118" s="299">
        <f t="shared" si="544"/>
        <v>2012</v>
      </c>
      <c r="M118" s="299">
        <f t="shared" si="544"/>
        <v>2013</v>
      </c>
      <c r="N118" s="299">
        <f t="shared" si="544"/>
        <v>2014</v>
      </c>
      <c r="O118" s="299">
        <f t="shared" si="544"/>
        <v>2015</v>
      </c>
      <c r="P118" s="181" t="str">
        <f t="shared" si="544"/>
        <v>2016E</v>
      </c>
      <c r="Q118" s="181" t="str">
        <f t="shared" si="544"/>
        <v>2017E</v>
      </c>
      <c r="R118" s="181" t="str">
        <f t="shared" si="544"/>
        <v>2018E</v>
      </c>
      <c r="S118" s="181" t="str">
        <f t="shared" si="544"/>
        <v>2019E</v>
      </c>
      <c r="T118" s="181" t="str">
        <f t="shared" ref="T118:U118" si="545">+T96</f>
        <v>2020E</v>
      </c>
      <c r="U118" s="181" t="str">
        <f t="shared" si="545"/>
        <v>2021E</v>
      </c>
      <c r="V118" s="323"/>
      <c r="W118" s="354" t="s">
        <v>308</v>
      </c>
      <c r="X118" s="352"/>
      <c r="Y118" s="352" t="str">
        <f t="shared" ref="Y118:BD118" si="546">+Y96</f>
        <v>2Q04</v>
      </c>
      <c r="Z118" s="352" t="str">
        <f t="shared" si="546"/>
        <v>3Q04</v>
      </c>
      <c r="AA118" s="352" t="str">
        <f t="shared" si="546"/>
        <v>4Q04</v>
      </c>
      <c r="AB118" s="352" t="str">
        <f t="shared" si="546"/>
        <v>1Q05</v>
      </c>
      <c r="AC118" s="352" t="str">
        <f t="shared" si="546"/>
        <v>2Q05</v>
      </c>
      <c r="AD118" s="352" t="str">
        <f t="shared" si="546"/>
        <v>3Q05</v>
      </c>
      <c r="AE118" s="352" t="str">
        <f t="shared" si="546"/>
        <v>4Q05</v>
      </c>
      <c r="AF118" s="352" t="str">
        <f t="shared" si="546"/>
        <v>1Q06</v>
      </c>
      <c r="AG118" s="352" t="str">
        <f t="shared" si="546"/>
        <v>2Q06</v>
      </c>
      <c r="AH118" s="352" t="str">
        <f t="shared" si="546"/>
        <v>3Q06</v>
      </c>
      <c r="AI118" s="352" t="str">
        <f t="shared" si="546"/>
        <v>4Q06</v>
      </c>
      <c r="AJ118" s="352" t="str">
        <f t="shared" si="546"/>
        <v>1Q07</v>
      </c>
      <c r="AK118" s="352" t="str">
        <f t="shared" si="546"/>
        <v>2Q07</v>
      </c>
      <c r="AL118" s="352" t="str">
        <f t="shared" si="546"/>
        <v>3Q07</v>
      </c>
      <c r="AM118" s="352" t="str">
        <f t="shared" si="546"/>
        <v>4Q07</v>
      </c>
      <c r="AN118" s="352" t="str">
        <f t="shared" si="546"/>
        <v>1Q08</v>
      </c>
      <c r="AO118" s="352" t="str">
        <f t="shared" si="546"/>
        <v>2Q08</v>
      </c>
      <c r="AP118" s="352" t="str">
        <f t="shared" si="546"/>
        <v>3Q08</v>
      </c>
      <c r="AQ118" s="352" t="str">
        <f t="shared" si="546"/>
        <v>4Q08</v>
      </c>
      <c r="AR118" s="352" t="str">
        <f t="shared" si="546"/>
        <v>1Q09</v>
      </c>
      <c r="AS118" s="352" t="str">
        <f t="shared" si="546"/>
        <v>2Q09</v>
      </c>
      <c r="AT118" s="352" t="str">
        <f t="shared" si="546"/>
        <v>3Q09</v>
      </c>
      <c r="AU118" s="352" t="str">
        <f t="shared" si="546"/>
        <v>4Q09</v>
      </c>
      <c r="AV118" s="352" t="str">
        <f t="shared" si="546"/>
        <v>1Q10</v>
      </c>
      <c r="AW118" s="352" t="str">
        <f t="shared" si="546"/>
        <v>2Q10</v>
      </c>
      <c r="AX118" s="352" t="str">
        <f t="shared" si="546"/>
        <v>3Q10</v>
      </c>
      <c r="AY118" s="352" t="str">
        <f t="shared" si="546"/>
        <v>4Q10</v>
      </c>
      <c r="AZ118" s="352" t="str">
        <f t="shared" si="546"/>
        <v>1Q11</v>
      </c>
      <c r="BA118" s="352" t="str">
        <f t="shared" si="546"/>
        <v>2Q11</v>
      </c>
      <c r="BB118" s="352" t="str">
        <f t="shared" si="546"/>
        <v>3Q11</v>
      </c>
      <c r="BC118" s="352" t="str">
        <f t="shared" si="546"/>
        <v>4Q11</v>
      </c>
      <c r="BD118" s="352" t="str">
        <f t="shared" si="546"/>
        <v>1Q12</v>
      </c>
      <c r="BE118" s="352" t="str">
        <f t="shared" ref="BE118:CI118" si="547">+BE96</f>
        <v>2Q12</v>
      </c>
      <c r="BF118" s="352" t="str">
        <f t="shared" si="547"/>
        <v>3Q12</v>
      </c>
      <c r="BG118" s="353" t="str">
        <f t="shared" si="547"/>
        <v>4Q12</v>
      </c>
      <c r="BH118" s="352" t="str">
        <f t="shared" si="547"/>
        <v>1Q13</v>
      </c>
      <c r="BI118" s="352" t="str">
        <f t="shared" ref="BI118" si="548">+BI96</f>
        <v>2Q13</v>
      </c>
      <c r="BJ118" s="352" t="str">
        <f t="shared" si="547"/>
        <v>3Q13</v>
      </c>
      <c r="BK118" s="352" t="str">
        <f t="shared" si="547"/>
        <v>4Q13</v>
      </c>
      <c r="BL118" s="352" t="str">
        <f t="shared" ref="BL118" si="549">+BL96</f>
        <v>1Q14</v>
      </c>
      <c r="BM118" s="352" t="str">
        <f t="shared" si="547"/>
        <v>2Q14</v>
      </c>
      <c r="BN118" s="352" t="str">
        <f t="shared" ref="BN118:BO118" si="550">+BN96</f>
        <v>3Q14</v>
      </c>
      <c r="BO118" s="352" t="str">
        <f t="shared" si="550"/>
        <v>4Q14</v>
      </c>
      <c r="BP118" s="352" t="str">
        <f t="shared" si="547"/>
        <v>1Q15</v>
      </c>
      <c r="BQ118" s="352" t="str">
        <f t="shared" si="547"/>
        <v>2Q15</v>
      </c>
      <c r="BR118" s="352" t="str">
        <f t="shared" ref="BR118:BS118" si="551">+BR96</f>
        <v>3Q15</v>
      </c>
      <c r="BS118" s="352" t="str">
        <f t="shared" si="551"/>
        <v>4Q15</v>
      </c>
      <c r="BT118" s="181" t="str">
        <f t="shared" si="547"/>
        <v>1Q16E</v>
      </c>
      <c r="BU118" s="181" t="str">
        <f t="shared" si="547"/>
        <v>2Q16E</v>
      </c>
      <c r="BV118" s="181" t="str">
        <f t="shared" si="547"/>
        <v>3Q16E</v>
      </c>
      <c r="BW118" s="181" t="str">
        <f t="shared" si="547"/>
        <v>4Q16E</v>
      </c>
      <c r="BX118" s="181" t="str">
        <f t="shared" si="547"/>
        <v>1Q17E</v>
      </c>
      <c r="BY118" s="181" t="str">
        <f t="shared" si="547"/>
        <v>2Q17E</v>
      </c>
      <c r="BZ118" s="181" t="str">
        <f t="shared" si="547"/>
        <v>3Q17E</v>
      </c>
      <c r="CA118" s="181" t="str">
        <f t="shared" si="547"/>
        <v>4Q17E</v>
      </c>
      <c r="CB118" s="181" t="str">
        <f t="shared" si="547"/>
        <v>1Q18E</v>
      </c>
      <c r="CC118" s="181" t="str">
        <f t="shared" si="547"/>
        <v>2Q18E</v>
      </c>
      <c r="CD118" s="181" t="str">
        <f t="shared" si="547"/>
        <v>3Q18E</v>
      </c>
      <c r="CE118" s="181" t="str">
        <f t="shared" si="547"/>
        <v>4Q18E</v>
      </c>
      <c r="CF118" s="181" t="str">
        <f t="shared" si="547"/>
        <v>1Q19E</v>
      </c>
      <c r="CG118" s="181" t="str">
        <f t="shared" si="547"/>
        <v>2Q19E</v>
      </c>
      <c r="CH118" s="181" t="str">
        <f t="shared" si="547"/>
        <v>3Q19E</v>
      </c>
      <c r="CI118" s="181" t="str">
        <f t="shared" si="547"/>
        <v>4Q19E</v>
      </c>
      <c r="CJ118" s="181" t="str">
        <f t="shared" ref="CJ118:CM118" si="552">+CJ96</f>
        <v>1Q20E</v>
      </c>
      <c r="CK118" s="181" t="str">
        <f t="shared" si="552"/>
        <v>2Q20E</v>
      </c>
      <c r="CL118" s="181" t="str">
        <f t="shared" si="552"/>
        <v>3Q20E</v>
      </c>
      <c r="CM118" s="181" t="str">
        <f t="shared" si="552"/>
        <v>4Q20E</v>
      </c>
      <c r="CN118" s="181" t="str">
        <f t="shared" ref="CN118:CQ118" si="553">+CN96</f>
        <v>1Q21E</v>
      </c>
      <c r="CO118" s="181" t="str">
        <f t="shared" si="553"/>
        <v>2Q21E</v>
      </c>
      <c r="CP118" s="181" t="str">
        <f t="shared" si="553"/>
        <v>3Q21E</v>
      </c>
      <c r="CQ118" s="181" t="str">
        <f t="shared" si="553"/>
        <v>4Q21E</v>
      </c>
    </row>
    <row r="119" spans="1:95" s="325" customFormat="1" ht="11.25" customHeight="1">
      <c r="A119" s="329" t="s">
        <v>307</v>
      </c>
      <c r="B119" s="331"/>
      <c r="C119" s="331" t="e">
        <f t="shared" ref="C119:S119" si="554">+C99/C97</f>
        <v>#DIV/0!</v>
      </c>
      <c r="D119" s="331" t="e">
        <f t="shared" si="554"/>
        <v>#DIV/0!</v>
      </c>
      <c r="E119" s="331" t="e">
        <f t="shared" si="554"/>
        <v>#DIV/0!</v>
      </c>
      <c r="F119" s="331" t="e">
        <f t="shared" si="554"/>
        <v>#DIV/0!</v>
      </c>
      <c r="G119" s="331" t="e">
        <f t="shared" si="554"/>
        <v>#DIV/0!</v>
      </c>
      <c r="H119" s="331" t="e">
        <f t="shared" si="554"/>
        <v>#DIV/0!</v>
      </c>
      <c r="I119" s="331">
        <f t="shared" si="554"/>
        <v>0.52355856712154558</v>
      </c>
      <c r="J119" s="331">
        <f t="shared" si="554"/>
        <v>0.50589146627297599</v>
      </c>
      <c r="K119" s="331">
        <f t="shared" si="554"/>
        <v>0.56419492000898763</v>
      </c>
      <c r="L119" s="331">
        <f t="shared" si="554"/>
        <v>0.52195086713983729</v>
      </c>
      <c r="M119" s="331">
        <f t="shared" si="554"/>
        <v>0.56130867198816381</v>
      </c>
      <c r="N119" s="331">
        <f t="shared" si="554"/>
        <v>0.58980520631265176</v>
      </c>
      <c r="O119" s="331">
        <f t="shared" si="554"/>
        <v>0.58013809725504695</v>
      </c>
      <c r="P119" s="330">
        <f t="shared" si="554"/>
        <v>0.58689280250921438</v>
      </c>
      <c r="Q119" s="330">
        <f t="shared" si="554"/>
        <v>0.60739932221255244</v>
      </c>
      <c r="R119" s="330">
        <f t="shared" si="554"/>
        <v>0.62780813249356782</v>
      </c>
      <c r="S119" s="330">
        <f t="shared" si="554"/>
        <v>0.64851820758004042</v>
      </c>
      <c r="T119" s="330">
        <f t="shared" ref="T119:U119" si="555">+T99/T97</f>
        <v>0.66943187170914209</v>
      </c>
      <c r="U119" s="330">
        <f t="shared" si="555"/>
        <v>0.69015155512106385</v>
      </c>
      <c r="V119" s="323"/>
      <c r="W119" s="329" t="s">
        <v>307</v>
      </c>
      <c r="X119" s="331" t="e">
        <f t="shared" ref="X119:BC119" si="556">+X99/X97</f>
        <v>#DIV/0!</v>
      </c>
      <c r="Y119" s="331" t="e">
        <f t="shared" si="556"/>
        <v>#DIV/0!</v>
      </c>
      <c r="Z119" s="331" t="e">
        <f t="shared" si="556"/>
        <v>#DIV/0!</v>
      </c>
      <c r="AA119" s="331" t="e">
        <f t="shared" si="556"/>
        <v>#DIV/0!</v>
      </c>
      <c r="AB119" s="331" t="e">
        <f t="shared" si="556"/>
        <v>#DIV/0!</v>
      </c>
      <c r="AC119" s="331" t="e">
        <f t="shared" si="556"/>
        <v>#DIV/0!</v>
      </c>
      <c r="AD119" s="331" t="e">
        <f t="shared" si="556"/>
        <v>#DIV/0!</v>
      </c>
      <c r="AE119" s="331" t="e">
        <f t="shared" si="556"/>
        <v>#DIV/0!</v>
      </c>
      <c r="AF119" s="331" t="e">
        <f t="shared" si="556"/>
        <v>#DIV/0!</v>
      </c>
      <c r="AG119" s="331" t="e">
        <f t="shared" si="556"/>
        <v>#DIV/0!</v>
      </c>
      <c r="AH119" s="331" t="e">
        <f t="shared" si="556"/>
        <v>#DIV/0!</v>
      </c>
      <c r="AI119" s="331" t="e">
        <f t="shared" si="556"/>
        <v>#DIV/0!</v>
      </c>
      <c r="AJ119" s="331" t="e">
        <f t="shared" si="556"/>
        <v>#DIV/0!</v>
      </c>
      <c r="AK119" s="331" t="e">
        <f t="shared" si="556"/>
        <v>#DIV/0!</v>
      </c>
      <c r="AL119" s="331" t="e">
        <f t="shared" si="556"/>
        <v>#DIV/0!</v>
      </c>
      <c r="AM119" s="331" t="e">
        <f t="shared" si="556"/>
        <v>#DIV/0!</v>
      </c>
      <c r="AN119" s="331" t="e">
        <f t="shared" si="556"/>
        <v>#DIV/0!</v>
      </c>
      <c r="AO119" s="331" t="e">
        <f t="shared" si="556"/>
        <v>#DIV/0!</v>
      </c>
      <c r="AP119" s="331" t="e">
        <f t="shared" si="556"/>
        <v>#DIV/0!</v>
      </c>
      <c r="AQ119" s="331" t="e">
        <f t="shared" si="556"/>
        <v>#DIV/0!</v>
      </c>
      <c r="AR119" s="331">
        <f t="shared" si="556"/>
        <v>0.48024536604867774</v>
      </c>
      <c r="AS119" s="331">
        <f t="shared" si="556"/>
        <v>0.5073814213138963</v>
      </c>
      <c r="AT119" s="331">
        <f t="shared" si="556"/>
        <v>0.51392385934853113</v>
      </c>
      <c r="AU119" s="331">
        <f t="shared" si="556"/>
        <v>0.52355856712154558</v>
      </c>
      <c r="AV119" s="331">
        <f t="shared" si="556"/>
        <v>0.50775601324699449</v>
      </c>
      <c r="AW119" s="331">
        <f t="shared" si="556"/>
        <v>0.53285172112600121</v>
      </c>
      <c r="AX119" s="331">
        <f t="shared" si="556"/>
        <v>0.50410606619272069</v>
      </c>
      <c r="AY119" s="331">
        <f t="shared" si="556"/>
        <v>0.50589146627297599</v>
      </c>
      <c r="AZ119" s="331">
        <f t="shared" si="556"/>
        <v>0.50031724805810163</v>
      </c>
      <c r="BA119" s="331">
        <f t="shared" si="556"/>
        <v>0.54617233317446701</v>
      </c>
      <c r="BB119" s="331">
        <f t="shared" si="556"/>
        <v>0.55304657980763883</v>
      </c>
      <c r="BC119" s="331">
        <f t="shared" si="556"/>
        <v>0.56419492000898763</v>
      </c>
      <c r="BD119" s="331">
        <f t="shared" ref="BD119:CI119" si="557">+BD99/BD97</f>
        <v>0.52968329316779261</v>
      </c>
      <c r="BE119" s="331">
        <f t="shared" si="557"/>
        <v>0.54826560376508671</v>
      </c>
      <c r="BF119" s="331">
        <f t="shared" si="557"/>
        <v>0.53811816857982919</v>
      </c>
      <c r="BG119" s="332">
        <f t="shared" si="557"/>
        <v>0.52195086713983729</v>
      </c>
      <c r="BH119" s="331">
        <f t="shared" si="557"/>
        <v>0.50980359293442135</v>
      </c>
      <c r="BI119" s="331">
        <f t="shared" ref="BI119" si="558">+BI99/BI97</f>
        <v>0.53584624858543206</v>
      </c>
      <c r="BJ119" s="331">
        <f t="shared" si="557"/>
        <v>0.55767325164432768</v>
      </c>
      <c r="BK119" s="331">
        <f t="shared" si="557"/>
        <v>0.56130867198816381</v>
      </c>
      <c r="BL119" s="331">
        <f t="shared" ref="BL119" si="559">+BL99/BL97</f>
        <v>0.56806234847174619</v>
      </c>
      <c r="BM119" s="331">
        <f t="shared" si="557"/>
        <v>0.57782058085902421</v>
      </c>
      <c r="BN119" s="331">
        <f t="shared" ref="BN119:BO119" si="560">+BN99/BN97</f>
        <v>0.57051080490724038</v>
      </c>
      <c r="BO119" s="331">
        <f t="shared" si="560"/>
        <v>0.58980520631265176</v>
      </c>
      <c r="BP119" s="331">
        <f t="shared" si="557"/>
        <v>0.57942970225471269</v>
      </c>
      <c r="BQ119" s="331">
        <f t="shared" si="557"/>
        <v>0.58296253571660106</v>
      </c>
      <c r="BR119" s="331">
        <f t="shared" ref="BR119:BS119" si="561">+BR99/BR97</f>
        <v>0.57487663174494064</v>
      </c>
      <c r="BS119" s="331">
        <f t="shared" si="561"/>
        <v>0.58013809725504695</v>
      </c>
      <c r="BT119" s="330">
        <f t="shared" si="557"/>
        <v>0.58264035155904126</v>
      </c>
      <c r="BU119" s="330">
        <f t="shared" si="557"/>
        <v>0.57742671574967663</v>
      </c>
      <c r="BV119" s="330">
        <f t="shared" si="557"/>
        <v>0.59032566025606792</v>
      </c>
      <c r="BW119" s="330">
        <f t="shared" si="557"/>
        <v>0.58689280250921438</v>
      </c>
      <c r="BX119" s="330">
        <f t="shared" si="557"/>
        <v>0.59893398386075802</v>
      </c>
      <c r="BY119" s="330">
        <f t="shared" si="557"/>
        <v>0.59726407702697382</v>
      </c>
      <c r="BZ119" s="330">
        <f t="shared" si="557"/>
        <v>0.60877821903526075</v>
      </c>
      <c r="CA119" s="330">
        <f t="shared" si="557"/>
        <v>0.60739932221255244</v>
      </c>
      <c r="CB119" s="330">
        <f t="shared" si="557"/>
        <v>0.61768210879482421</v>
      </c>
      <c r="CC119" s="330">
        <f t="shared" si="557"/>
        <v>0.61769127268016166</v>
      </c>
      <c r="CD119" s="330">
        <f t="shared" si="557"/>
        <v>0.6275569421963334</v>
      </c>
      <c r="CE119" s="330">
        <f t="shared" si="557"/>
        <v>0.62780813249356782</v>
      </c>
      <c r="CF119" s="330">
        <f t="shared" si="557"/>
        <v>0.6367738512636365</v>
      </c>
      <c r="CG119" s="330">
        <f t="shared" si="557"/>
        <v>0.63831627161847171</v>
      </c>
      <c r="CH119" s="330">
        <f t="shared" si="557"/>
        <v>0.64678198909273366</v>
      </c>
      <c r="CI119" s="330">
        <f t="shared" si="557"/>
        <v>0.64851820758004042</v>
      </c>
      <c r="CJ119" s="330">
        <f t="shared" ref="CJ119:CM119" si="562">+CJ99/CJ97</f>
        <v>0.65605018924227687</v>
      </c>
      <c r="CK119" s="330">
        <f t="shared" si="562"/>
        <v>0.65892040793805629</v>
      </c>
      <c r="CL119" s="330">
        <f t="shared" si="562"/>
        <v>0.66570149309720084</v>
      </c>
      <c r="CM119" s="330">
        <f t="shared" si="562"/>
        <v>0.66943187170914209</v>
      </c>
      <c r="CN119" s="330">
        <f t="shared" ref="CN119:CQ119" si="563">+CN99/CN97</f>
        <v>0.67504146459756742</v>
      </c>
      <c r="CO119" s="330">
        <f t="shared" si="563"/>
        <v>0.67973847449739144</v>
      </c>
      <c r="CP119" s="330">
        <f t="shared" si="563"/>
        <v>0.68483698211255806</v>
      </c>
      <c r="CQ119" s="330">
        <f t="shared" si="563"/>
        <v>0.69015155512106385</v>
      </c>
    </row>
    <row r="120" spans="1:95" s="325" customFormat="1" ht="11.25" customHeight="1">
      <c r="A120" s="329" t="s">
        <v>306</v>
      </c>
      <c r="B120" s="331"/>
      <c r="C120" s="331" t="e">
        <f t="shared" ref="C120:S120" si="564">+C105/C97</f>
        <v>#DIV/0!</v>
      </c>
      <c r="D120" s="331" t="e">
        <f t="shared" si="564"/>
        <v>#DIV/0!</v>
      </c>
      <c r="E120" s="331" t="e">
        <f t="shared" si="564"/>
        <v>#DIV/0!</v>
      </c>
      <c r="F120" s="331" t="e">
        <f t="shared" si="564"/>
        <v>#DIV/0!</v>
      </c>
      <c r="G120" s="331" t="e">
        <f t="shared" si="564"/>
        <v>#DIV/0!</v>
      </c>
      <c r="H120" s="331" t="e">
        <f t="shared" si="564"/>
        <v>#DIV/0!</v>
      </c>
      <c r="I120" s="331">
        <f t="shared" si="564"/>
        <v>0.232965538892909</v>
      </c>
      <c r="J120" s="331">
        <f t="shared" si="564"/>
        <v>0.13735514786452674</v>
      </c>
      <c r="K120" s="331">
        <f t="shared" si="564"/>
        <v>0.19593432916592513</v>
      </c>
      <c r="L120" s="331">
        <f t="shared" si="564"/>
        <v>0.19378078186900594</v>
      </c>
      <c r="M120" s="331">
        <f t="shared" si="564"/>
        <v>0.18157272669183058</v>
      </c>
      <c r="N120" s="331">
        <f t="shared" si="564"/>
        <v>0.15771790551729353</v>
      </c>
      <c r="O120" s="331">
        <f t="shared" si="564"/>
        <v>0.16541271455069806</v>
      </c>
      <c r="P120" s="330">
        <f t="shared" si="564"/>
        <v>0.15401085480378682</v>
      </c>
      <c r="Q120" s="330">
        <f t="shared" si="564"/>
        <v>0.14497168111261141</v>
      </c>
      <c r="R120" s="330">
        <f t="shared" si="564"/>
        <v>0.1369319085508825</v>
      </c>
      <c r="S120" s="330">
        <f t="shared" si="564"/>
        <v>0.12902028743708605</v>
      </c>
      <c r="T120" s="330">
        <f t="shared" ref="T120:U120" si="565">+T105/T97</f>
        <v>0.12087921942982088</v>
      </c>
      <c r="U120" s="330">
        <f t="shared" si="565"/>
        <v>0.11266498543694495</v>
      </c>
      <c r="V120" s="323"/>
      <c r="W120" s="329" t="s">
        <v>306</v>
      </c>
      <c r="X120" s="331" t="e">
        <f t="shared" ref="X120:BC120" si="566">+X105/X97</f>
        <v>#DIV/0!</v>
      </c>
      <c r="Y120" s="331" t="e">
        <f t="shared" si="566"/>
        <v>#DIV/0!</v>
      </c>
      <c r="Z120" s="331" t="e">
        <f t="shared" si="566"/>
        <v>#DIV/0!</v>
      </c>
      <c r="AA120" s="331" t="e">
        <f t="shared" si="566"/>
        <v>#DIV/0!</v>
      </c>
      <c r="AB120" s="331" t="e">
        <f t="shared" si="566"/>
        <v>#DIV/0!</v>
      </c>
      <c r="AC120" s="331" t="e">
        <f t="shared" si="566"/>
        <v>#DIV/0!</v>
      </c>
      <c r="AD120" s="331" t="e">
        <f t="shared" si="566"/>
        <v>#DIV/0!</v>
      </c>
      <c r="AE120" s="331" t="e">
        <f t="shared" si="566"/>
        <v>#DIV/0!</v>
      </c>
      <c r="AF120" s="331" t="e">
        <f t="shared" si="566"/>
        <v>#DIV/0!</v>
      </c>
      <c r="AG120" s="331" t="e">
        <f t="shared" si="566"/>
        <v>#DIV/0!</v>
      </c>
      <c r="AH120" s="331" t="e">
        <f t="shared" si="566"/>
        <v>#DIV/0!</v>
      </c>
      <c r="AI120" s="331" t="e">
        <f t="shared" si="566"/>
        <v>#DIV/0!</v>
      </c>
      <c r="AJ120" s="331" t="e">
        <f t="shared" si="566"/>
        <v>#DIV/0!</v>
      </c>
      <c r="AK120" s="331" t="e">
        <f t="shared" si="566"/>
        <v>#DIV/0!</v>
      </c>
      <c r="AL120" s="331" t="e">
        <f t="shared" si="566"/>
        <v>#DIV/0!</v>
      </c>
      <c r="AM120" s="331" t="e">
        <f t="shared" si="566"/>
        <v>#DIV/0!</v>
      </c>
      <c r="AN120" s="331" t="e">
        <f t="shared" si="566"/>
        <v>#DIV/0!</v>
      </c>
      <c r="AO120" s="331" t="e">
        <f t="shared" si="566"/>
        <v>#DIV/0!</v>
      </c>
      <c r="AP120" s="331" t="e">
        <f t="shared" si="566"/>
        <v>#DIV/0!</v>
      </c>
      <c r="AQ120" s="331" t="e">
        <f t="shared" si="566"/>
        <v>#DIV/0!</v>
      </c>
      <c r="AR120" s="331">
        <f t="shared" si="566"/>
        <v>0.25134915472492703</v>
      </c>
      <c r="AS120" s="331">
        <f t="shared" si="566"/>
        <v>0.23684800452537008</v>
      </c>
      <c r="AT120" s="331">
        <f t="shared" si="566"/>
        <v>0.23678105044975897</v>
      </c>
      <c r="AU120" s="331">
        <f t="shared" si="566"/>
        <v>0.232965538892909</v>
      </c>
      <c r="AV120" s="331">
        <f t="shared" si="566"/>
        <v>0.26534274568040572</v>
      </c>
      <c r="AW120" s="331">
        <f t="shared" si="566"/>
        <v>0.24968037714537539</v>
      </c>
      <c r="AX120" s="331">
        <f t="shared" si="566"/>
        <v>0.28964131531520027</v>
      </c>
      <c r="AY120" s="331">
        <f t="shared" si="566"/>
        <v>0.13735514786452674</v>
      </c>
      <c r="AZ120" s="331">
        <f t="shared" si="566"/>
        <v>0.20035362099002121</v>
      </c>
      <c r="BA120" s="331">
        <f t="shared" si="566"/>
        <v>0.2129767173817313</v>
      </c>
      <c r="BB120" s="331">
        <f t="shared" si="566"/>
        <v>0.21784405837918494</v>
      </c>
      <c r="BC120" s="331">
        <f t="shared" si="566"/>
        <v>0.19593432916592513</v>
      </c>
      <c r="BD120" s="331">
        <f t="shared" ref="BD120:CI120" si="567">+BD105/BD97</f>
        <v>0.22804388660128808</v>
      </c>
      <c r="BE120" s="331">
        <f t="shared" si="567"/>
        <v>0.23198820823230012</v>
      </c>
      <c r="BF120" s="331">
        <f t="shared" si="567"/>
        <v>0.19552466139912261</v>
      </c>
      <c r="BG120" s="332">
        <f t="shared" si="567"/>
        <v>0.19378078186900594</v>
      </c>
      <c r="BH120" s="331">
        <f t="shared" si="567"/>
        <v>0.20107031766775246</v>
      </c>
      <c r="BI120" s="331">
        <f t="shared" ref="BI120" si="568">+BI105/BI97</f>
        <v>0.19994598410313474</v>
      </c>
      <c r="BJ120" s="331">
        <f t="shared" si="567"/>
        <v>0.17569427101437682</v>
      </c>
      <c r="BK120" s="331">
        <f t="shared" si="567"/>
        <v>0.18157272669183058</v>
      </c>
      <c r="BL120" s="331">
        <f t="shared" ref="BL120" si="569">+BL105/BL97</f>
        <v>0.17478790318215864</v>
      </c>
      <c r="BM120" s="331">
        <f t="shared" si="567"/>
        <v>0.17140007829706602</v>
      </c>
      <c r="BN120" s="331">
        <f t="shared" ref="BN120:BO120" si="570">+BN105/BN97</f>
        <v>0.17644748390646345</v>
      </c>
      <c r="BO120" s="331">
        <f t="shared" si="570"/>
        <v>0.15771790551729353</v>
      </c>
      <c r="BP120" s="331">
        <f t="shared" si="567"/>
        <v>0.17004439292363158</v>
      </c>
      <c r="BQ120" s="331">
        <f t="shared" si="567"/>
        <v>0.16348619661345448</v>
      </c>
      <c r="BR120" s="331">
        <f t="shared" ref="BR120:BS120" si="571">+BR105/BR97</f>
        <v>0.16711956230087063</v>
      </c>
      <c r="BS120" s="331">
        <f t="shared" si="571"/>
        <v>0.16541271455069806</v>
      </c>
      <c r="BT120" s="330">
        <f t="shared" si="567"/>
        <v>0.1560586031118891</v>
      </c>
      <c r="BU120" s="330">
        <f t="shared" si="567"/>
        <v>0.15821980575947792</v>
      </c>
      <c r="BV120" s="330">
        <f t="shared" si="567"/>
        <v>0.15268754604880119</v>
      </c>
      <c r="BW120" s="330">
        <f t="shared" si="567"/>
        <v>0.15401085480378682</v>
      </c>
      <c r="BX120" s="330">
        <f t="shared" si="567"/>
        <v>0.14878027507827468</v>
      </c>
      <c r="BY120" s="330">
        <f t="shared" si="567"/>
        <v>0.14932458750164462</v>
      </c>
      <c r="BZ120" s="330">
        <f t="shared" si="567"/>
        <v>0.14438014043717828</v>
      </c>
      <c r="CA120" s="330">
        <f t="shared" si="567"/>
        <v>0.14497168111261141</v>
      </c>
      <c r="CB120" s="330">
        <f t="shared" si="567"/>
        <v>0.14071946353181275</v>
      </c>
      <c r="CC120" s="330">
        <f t="shared" si="567"/>
        <v>0.14084254719067288</v>
      </c>
      <c r="CD120" s="330">
        <f t="shared" si="567"/>
        <v>0.13684559120328688</v>
      </c>
      <c r="CE120" s="330">
        <f t="shared" si="567"/>
        <v>0.1369319085508825</v>
      </c>
      <c r="CF120" s="330">
        <f t="shared" si="567"/>
        <v>0.13332426869905872</v>
      </c>
      <c r="CG120" s="330">
        <f t="shared" si="567"/>
        <v>0.13287962165653749</v>
      </c>
      <c r="CH120" s="330">
        <f t="shared" si="567"/>
        <v>0.12952189696568431</v>
      </c>
      <c r="CI120" s="330">
        <f t="shared" si="567"/>
        <v>0.12902028743708605</v>
      </c>
      <c r="CJ120" s="330">
        <f t="shared" ref="CJ120:CM120" si="572">+CJ105/CJ97</f>
        <v>0.12602270146053898</v>
      </c>
      <c r="CK120" s="330">
        <f t="shared" si="572"/>
        <v>0.12499230501338482</v>
      </c>
      <c r="CL120" s="330">
        <f t="shared" si="572"/>
        <v>0.1222814093370438</v>
      </c>
      <c r="CM120" s="330">
        <f t="shared" si="572"/>
        <v>0.12087921942982088</v>
      </c>
      <c r="CN120" s="330">
        <f t="shared" ref="CN120:CQ120" si="573">+CN105/CN97</f>
        <v>0.11863347369866491</v>
      </c>
      <c r="CO120" s="330">
        <f t="shared" si="573"/>
        <v>0.11677770900143916</v>
      </c>
      <c r="CP120" s="330">
        <f t="shared" si="573"/>
        <v>0.11476485257450497</v>
      </c>
      <c r="CQ120" s="330">
        <f t="shared" si="573"/>
        <v>0.11266498543694495</v>
      </c>
    </row>
    <row r="121" spans="1:95" s="325" customFormat="1" ht="11.25" customHeight="1">
      <c r="A121" s="329" t="s">
        <v>305</v>
      </c>
      <c r="B121" s="331"/>
      <c r="C121" s="331" t="e">
        <f t="shared" ref="C121:S121" si="574">+C99/C107</f>
        <v>#DIV/0!</v>
      </c>
      <c r="D121" s="331" t="e">
        <f t="shared" si="574"/>
        <v>#DIV/0!</v>
      </c>
      <c r="E121" s="331" t="e">
        <f t="shared" si="574"/>
        <v>#DIV/0!</v>
      </c>
      <c r="F121" s="331" t="e">
        <f t="shared" si="574"/>
        <v>#DIV/0!</v>
      </c>
      <c r="G121" s="331" t="e">
        <f t="shared" si="574"/>
        <v>#DIV/0!</v>
      </c>
      <c r="H121" s="331" t="e">
        <f t="shared" si="574"/>
        <v>#DIV/0!</v>
      </c>
      <c r="I121" s="331">
        <f t="shared" si="574"/>
        <v>0.82256894417525694</v>
      </c>
      <c r="J121" s="331">
        <f t="shared" si="574"/>
        <v>0.79585905044007266</v>
      </c>
      <c r="K121" s="331">
        <f t="shared" si="574"/>
        <v>0.91863339550885503</v>
      </c>
      <c r="L121" s="331">
        <f t="shared" si="574"/>
        <v>0.89296567065172461</v>
      </c>
      <c r="M121" s="331">
        <f t="shared" si="574"/>
        <v>0.93954535219127999</v>
      </c>
      <c r="N121" s="331">
        <f t="shared" si="574"/>
        <v>1.0353737237607628</v>
      </c>
      <c r="O121" s="331">
        <f t="shared" si="574"/>
        <v>0.99707701348605215</v>
      </c>
      <c r="P121" s="330">
        <f t="shared" ca="1" si="574"/>
        <v>0.97270428433361955</v>
      </c>
      <c r="Q121" s="330">
        <f t="shared" ca="1" si="574"/>
        <v>0.99598096490109789</v>
      </c>
      <c r="R121" s="330">
        <f t="shared" ca="1" si="574"/>
        <v>1.023694706337374</v>
      </c>
      <c r="S121" s="330">
        <f t="shared" ca="1" si="574"/>
        <v>1.0515962207832052</v>
      </c>
      <c r="T121" s="330">
        <f t="shared" ref="T121:U121" ca="1" si="575">+T99/T107</f>
        <v>1.0781125197234764</v>
      </c>
      <c r="U121" s="330">
        <f t="shared" ca="1" si="575"/>
        <v>1.1029145505621927</v>
      </c>
      <c r="V121" s="323"/>
      <c r="W121" s="329" t="s">
        <v>305</v>
      </c>
      <c r="X121" s="331" t="e">
        <f t="shared" ref="X121:BC121" si="576">+X99/X107</f>
        <v>#DIV/0!</v>
      </c>
      <c r="Y121" s="331" t="e">
        <f t="shared" si="576"/>
        <v>#DIV/0!</v>
      </c>
      <c r="Z121" s="331" t="e">
        <f t="shared" si="576"/>
        <v>#DIV/0!</v>
      </c>
      <c r="AA121" s="331" t="e">
        <f t="shared" si="576"/>
        <v>#DIV/0!</v>
      </c>
      <c r="AB121" s="331" t="e">
        <f t="shared" si="576"/>
        <v>#DIV/0!</v>
      </c>
      <c r="AC121" s="331" t="e">
        <f t="shared" si="576"/>
        <v>#DIV/0!</v>
      </c>
      <c r="AD121" s="331" t="e">
        <f t="shared" si="576"/>
        <v>#DIV/0!</v>
      </c>
      <c r="AE121" s="331" t="e">
        <f t="shared" si="576"/>
        <v>#DIV/0!</v>
      </c>
      <c r="AF121" s="331" t="e">
        <f t="shared" si="576"/>
        <v>#DIV/0!</v>
      </c>
      <c r="AG121" s="331" t="e">
        <f t="shared" si="576"/>
        <v>#DIV/0!</v>
      </c>
      <c r="AH121" s="331" t="e">
        <f t="shared" si="576"/>
        <v>#DIV/0!</v>
      </c>
      <c r="AI121" s="331" t="e">
        <f t="shared" si="576"/>
        <v>#DIV/0!</v>
      </c>
      <c r="AJ121" s="331" t="e">
        <f t="shared" si="576"/>
        <v>#DIV/0!</v>
      </c>
      <c r="AK121" s="331" t="e">
        <f t="shared" si="576"/>
        <v>#DIV/0!</v>
      </c>
      <c r="AL121" s="331" t="e">
        <f t="shared" si="576"/>
        <v>#DIV/0!</v>
      </c>
      <c r="AM121" s="331" t="e">
        <f t="shared" si="576"/>
        <v>#DIV/0!</v>
      </c>
      <c r="AN121" s="331" t="e">
        <f t="shared" si="576"/>
        <v>#DIV/0!</v>
      </c>
      <c r="AO121" s="331" t="e">
        <f t="shared" si="576"/>
        <v>#DIV/0!</v>
      </c>
      <c r="AP121" s="331" t="e">
        <f t="shared" si="576"/>
        <v>#DIV/0!</v>
      </c>
      <c r="AQ121" s="331" t="e">
        <f t="shared" si="576"/>
        <v>#DIV/0!</v>
      </c>
      <c r="AR121" s="331">
        <f t="shared" si="576"/>
        <v>0.75929737208716341</v>
      </c>
      <c r="AS121" s="331">
        <f t="shared" si="576"/>
        <v>0.77353793571181084</v>
      </c>
      <c r="AT121" s="331">
        <f t="shared" si="576"/>
        <v>0.7808102932562061</v>
      </c>
      <c r="AU121" s="331">
        <f t="shared" si="576"/>
        <v>0.82256894417525694</v>
      </c>
      <c r="AV121" s="331">
        <f t="shared" si="576"/>
        <v>0.80523620971325205</v>
      </c>
      <c r="AW121" s="331">
        <f t="shared" si="576"/>
        <v>0.83224502114601906</v>
      </c>
      <c r="AX121" s="331">
        <f t="shared" si="576"/>
        <v>0.80526368190824249</v>
      </c>
      <c r="AY121" s="331">
        <f t="shared" si="576"/>
        <v>0.79585905044007266</v>
      </c>
      <c r="AZ121" s="331">
        <f t="shared" si="576"/>
        <v>0.81183938457372373</v>
      </c>
      <c r="BA121" s="331">
        <f t="shared" si="576"/>
        <v>0.87368782057438543</v>
      </c>
      <c r="BB121" s="331">
        <f t="shared" si="576"/>
        <v>0.90780806942658365</v>
      </c>
      <c r="BC121" s="331">
        <f t="shared" si="576"/>
        <v>0.91863339550885503</v>
      </c>
      <c r="BD121" s="331">
        <f t="shared" ref="BD121:CI121" si="577">+BD99/BD107</f>
        <v>0.85425248820874922</v>
      </c>
      <c r="BE121" s="331">
        <f t="shared" si="577"/>
        <v>0.88551291726924986</v>
      </c>
      <c r="BF121" s="331">
        <f t="shared" si="577"/>
        <v>0.920172897021176</v>
      </c>
      <c r="BG121" s="332">
        <f t="shared" si="577"/>
        <v>0.89296567065172461</v>
      </c>
      <c r="BH121" s="331">
        <f t="shared" si="577"/>
        <v>0.85655858134611218</v>
      </c>
      <c r="BI121" s="331">
        <f t="shared" ref="BI121" si="578">+BI99/BI107</f>
        <v>0.90611535105018348</v>
      </c>
      <c r="BJ121" s="331">
        <f t="shared" si="577"/>
        <v>0.93286486903799015</v>
      </c>
      <c r="BK121" s="331">
        <f t="shared" si="577"/>
        <v>0.93954535219127999</v>
      </c>
      <c r="BL121" s="331">
        <f t="shared" ref="BL121" si="579">+BL99/BL107</f>
        <v>0.94517478461674431</v>
      </c>
      <c r="BM121" s="331">
        <f t="shared" si="577"/>
        <v>0.97161616303223364</v>
      </c>
      <c r="BN121" s="331">
        <f t="shared" ref="BN121:BO121" si="580">+BN99/BN107</f>
        <v>1.0109124172002648</v>
      </c>
      <c r="BO121" s="331">
        <f t="shared" si="580"/>
        <v>1.0353737237607628</v>
      </c>
      <c r="BP121" s="331">
        <f t="shared" si="577"/>
        <v>1.0313081768051899</v>
      </c>
      <c r="BQ121" s="331">
        <f t="shared" si="577"/>
        <v>1.0320426280736954</v>
      </c>
      <c r="BR121" s="331">
        <f t="shared" ref="BR121:BS121" si="581">+BR99/BR107</f>
        <v>1.0163836278061595</v>
      </c>
      <c r="BS121" s="331">
        <f t="shared" si="581"/>
        <v>0.99707701348605215</v>
      </c>
      <c r="BT121" s="330">
        <f t="shared" ca="1" si="577"/>
        <v>0.93919796976278913</v>
      </c>
      <c r="BU121" s="330">
        <f t="shared" ca="1" si="577"/>
        <v>0.95398744647202915</v>
      </c>
      <c r="BV121" s="330">
        <f t="shared" ca="1" si="577"/>
        <v>0.96471843467805096</v>
      </c>
      <c r="BW121" s="330">
        <f t="shared" ca="1" si="577"/>
        <v>0.97270428433361955</v>
      </c>
      <c r="BX121" s="330">
        <f t="shared" ca="1" si="577"/>
        <v>0.97179868706606953</v>
      </c>
      <c r="BY121" s="330">
        <f t="shared" ca="1" si="577"/>
        <v>0.97982038616326717</v>
      </c>
      <c r="BZ121" s="330">
        <f t="shared" ca="1" si="577"/>
        <v>0.98672867284110011</v>
      </c>
      <c r="CA121" s="330">
        <f t="shared" ca="1" si="577"/>
        <v>0.99598096490109789</v>
      </c>
      <c r="CB121" s="330">
        <f t="shared" ca="1" si="577"/>
        <v>0.99488364802733853</v>
      </c>
      <c r="CC121" s="330">
        <f t="shared" ca="1" si="577"/>
        <v>1.0047065414666838</v>
      </c>
      <c r="CD121" s="330">
        <f t="shared" ca="1" si="577"/>
        <v>1.0127140701713779</v>
      </c>
      <c r="CE121" s="330">
        <f t="shared" ca="1" si="577"/>
        <v>1.023694706337374</v>
      </c>
      <c r="CF121" s="330">
        <f t="shared" ca="1" si="577"/>
        <v>1.0221546592762303</v>
      </c>
      <c r="CG121" s="330">
        <f t="shared" ca="1" si="577"/>
        <v>1.0325614922608086</v>
      </c>
      <c r="CH121" s="330">
        <f t="shared" ca="1" si="577"/>
        <v>1.0406468616414635</v>
      </c>
      <c r="CI121" s="330">
        <f t="shared" ca="1" si="577"/>
        <v>1.0515962207832052</v>
      </c>
      <c r="CJ121" s="330">
        <f t="shared" ref="CJ121:CM121" ca="1" si="582">+CJ99/CJ107</f>
        <v>1.0493958316384751</v>
      </c>
      <c r="CK121" s="330">
        <f t="shared" ca="1" si="582"/>
        <v>1.059610603805021</v>
      </c>
      <c r="CL121" s="330">
        <f t="shared" ca="1" si="582"/>
        <v>1.0680337835640878</v>
      </c>
      <c r="CM121" s="330">
        <f t="shared" ca="1" si="582"/>
        <v>1.0781125197234764</v>
      </c>
      <c r="CN121" s="330">
        <f t="shared" ref="CN121:CQ121" ca="1" si="583">+CN99/CN107</f>
        <v>1.0757840710137951</v>
      </c>
      <c r="CO121" s="330">
        <f t="shared" ca="1" si="583"/>
        <v>1.0848228392032662</v>
      </c>
      <c r="CP121" s="330">
        <f t="shared" ca="1" si="583"/>
        <v>1.0941406733067904</v>
      </c>
      <c r="CQ121" s="330">
        <f t="shared" ca="1" si="583"/>
        <v>1.1029145505621927</v>
      </c>
    </row>
    <row r="122" spans="1:95" s="325" customFormat="1" ht="11.25" customHeight="1">
      <c r="A122" s="329" t="s">
        <v>304</v>
      </c>
      <c r="B122" s="331"/>
      <c r="C122" s="331" t="e">
        <f>+'Balance Sheet'!H11/'Balance Sheet'!H31</f>
        <v>#DIV/0!</v>
      </c>
      <c r="D122" s="331" t="e">
        <f>+'Balance Sheet'!I11/'Balance Sheet'!I31</f>
        <v>#DIV/0!</v>
      </c>
      <c r="E122" s="331" t="e">
        <f>+'Balance Sheet'!J11/'Balance Sheet'!J31</f>
        <v>#DIV/0!</v>
      </c>
      <c r="F122" s="331" t="e">
        <f>+'Balance Sheet'!K11/'Balance Sheet'!K31</f>
        <v>#DIV/0!</v>
      </c>
      <c r="G122" s="331" t="e">
        <f>+'Balance Sheet'!L11/'Balance Sheet'!L31</f>
        <v>#DIV/0!</v>
      </c>
      <c r="H122" s="331" t="e">
        <f>+'Balance Sheet'!M11/'Balance Sheet'!M31</f>
        <v>#DIV/0!</v>
      </c>
      <c r="I122" s="331">
        <f>+'Balance Sheet'!N11/'Balance Sheet'!N31</f>
        <v>4.1945045245362987E-2</v>
      </c>
      <c r="J122" s="331">
        <f>+'Balance Sheet'!O11/'Balance Sheet'!O31</f>
        <v>5.7092900312020967E-2</v>
      </c>
      <c r="K122" s="331">
        <f>+'Balance Sheet'!P11/'Balance Sheet'!P31</f>
        <v>3.6789295482849392E-2</v>
      </c>
      <c r="L122" s="331">
        <f>+'Balance Sheet'!Q11/'Balance Sheet'!Q31</f>
        <v>2.3941227609225735E-2</v>
      </c>
      <c r="M122" s="331">
        <f>+'Balance Sheet'!R11/'Balance Sheet'!R31</f>
        <v>3.7665599514362505E-2</v>
      </c>
      <c r="N122" s="331">
        <f>+'Balance Sheet'!S11/'Balance Sheet'!S31</f>
        <v>3.2126619691494981E-2</v>
      </c>
      <c r="O122" s="331">
        <f>+'Balance Sheet'!T11/'Balance Sheet'!T31</f>
        <v>2.4544436789422988E-2</v>
      </c>
      <c r="P122" s="330">
        <f>+'Balance Sheet'!U11/'Balance Sheet'!U31</f>
        <v>4.7619047619047616E-2</v>
      </c>
      <c r="Q122" s="330">
        <f>+'Balance Sheet'!V11/'Balance Sheet'!V31</f>
        <v>4.7619047619047623E-2</v>
      </c>
      <c r="R122" s="330">
        <f>+'Balance Sheet'!W11/'Balance Sheet'!W31</f>
        <v>4.7619047619047616E-2</v>
      </c>
      <c r="S122" s="330">
        <f>+'Balance Sheet'!X11/'Balance Sheet'!X31</f>
        <v>4.761904761904763E-2</v>
      </c>
      <c r="T122" s="330">
        <f>+'Balance Sheet'!Y11/'Balance Sheet'!Y31</f>
        <v>4.7619047619047623E-2</v>
      </c>
      <c r="U122" s="330">
        <f>+'Balance Sheet'!Z11/'Balance Sheet'!Z31</f>
        <v>4.7619047619047616E-2</v>
      </c>
      <c r="V122" s="323"/>
      <c r="W122" s="329" t="s">
        <v>304</v>
      </c>
      <c r="X122" s="331" t="e">
        <f>+'Balance Sheet'!BE11/'Balance Sheet'!BE31</f>
        <v>#DIV/0!</v>
      </c>
      <c r="Y122" s="331" t="e">
        <f>+'Balance Sheet'!BF11/'Balance Sheet'!BF31</f>
        <v>#DIV/0!</v>
      </c>
      <c r="Z122" s="331" t="e">
        <f>+'Balance Sheet'!BG11/'Balance Sheet'!BG31</f>
        <v>#DIV/0!</v>
      </c>
      <c r="AA122" s="331" t="e">
        <f>+'Balance Sheet'!BH11/'Balance Sheet'!BH31</f>
        <v>#DIV/0!</v>
      </c>
      <c r="AB122" s="331" t="e">
        <f>+'Balance Sheet'!BI11/'Balance Sheet'!BI31</f>
        <v>#DIV/0!</v>
      </c>
      <c r="AC122" s="331" t="e">
        <f>+'Balance Sheet'!BJ11/'Balance Sheet'!BJ31</f>
        <v>#DIV/0!</v>
      </c>
      <c r="AD122" s="331" t="e">
        <f>+'Balance Sheet'!BK11/'Balance Sheet'!BK31</f>
        <v>#DIV/0!</v>
      </c>
      <c r="AE122" s="331" t="e">
        <f>+'Balance Sheet'!BL11/'Balance Sheet'!BL31</f>
        <v>#DIV/0!</v>
      </c>
      <c r="AF122" s="331" t="e">
        <f>+'Balance Sheet'!BM11/'Balance Sheet'!BM31</f>
        <v>#DIV/0!</v>
      </c>
      <c r="AG122" s="331" t="e">
        <f>+'Balance Sheet'!BN11/'Balance Sheet'!BN31</f>
        <v>#DIV/0!</v>
      </c>
      <c r="AH122" s="331" t="e">
        <f>+'Balance Sheet'!BO11/'Balance Sheet'!BO31</f>
        <v>#DIV/0!</v>
      </c>
      <c r="AI122" s="331" t="e">
        <f>+'Balance Sheet'!BP11/'Balance Sheet'!BP31</f>
        <v>#DIV/0!</v>
      </c>
      <c r="AJ122" s="331" t="e">
        <f>+'Balance Sheet'!BQ11/'Balance Sheet'!BQ31</f>
        <v>#DIV/0!</v>
      </c>
      <c r="AK122" s="331" t="e">
        <f>+'Balance Sheet'!BR11/'Balance Sheet'!BR31</f>
        <v>#DIV/0!</v>
      </c>
      <c r="AL122" s="331" t="e">
        <f>+'Balance Sheet'!BS11/'Balance Sheet'!BS31</f>
        <v>#DIV/0!</v>
      </c>
      <c r="AM122" s="331" t="e">
        <f>+'Balance Sheet'!BT11/'Balance Sheet'!BT31</f>
        <v>#DIV/0!</v>
      </c>
      <c r="AN122" s="331" t="e">
        <f>+'Balance Sheet'!BU11/'Balance Sheet'!BU31</f>
        <v>#DIV/0!</v>
      </c>
      <c r="AO122" s="331" t="e">
        <f>+'Balance Sheet'!BV11/'Balance Sheet'!BV31</f>
        <v>#DIV/0!</v>
      </c>
      <c r="AP122" s="331" t="e">
        <f>+'Balance Sheet'!BW11/'Balance Sheet'!BW31</f>
        <v>#DIV/0!</v>
      </c>
      <c r="AQ122" s="331" t="e">
        <f>+'Balance Sheet'!BX11/'Balance Sheet'!BX31</f>
        <v>#DIV/0!</v>
      </c>
      <c r="AR122" s="331">
        <f>+'Balance Sheet'!BY11/'Balance Sheet'!BY31</f>
        <v>4.3678293237960901E-2</v>
      </c>
      <c r="AS122" s="331">
        <f>+'Balance Sheet'!BZ11/'Balance Sheet'!BZ31</f>
        <v>3.4942883578174211E-2</v>
      </c>
      <c r="AT122" s="331">
        <f>+'Balance Sheet'!CA11/'Balance Sheet'!CA31</f>
        <v>3.6340162051958697E-2</v>
      </c>
      <c r="AU122" s="331">
        <f>+'Balance Sheet'!CB11/'Balance Sheet'!CB31</f>
        <v>4.1945045245362987E-2</v>
      </c>
      <c r="AV122" s="331">
        <f>+'Balance Sheet'!CC11/'Balance Sheet'!CC31</f>
        <v>4.0857209732699962E-2</v>
      </c>
      <c r="AW122" s="331">
        <f>+'Balance Sheet'!CD11/'Balance Sheet'!CD31</f>
        <v>3.6066442629765001E-2</v>
      </c>
      <c r="AX122" s="331">
        <f>+'Balance Sheet'!CE11/'Balance Sheet'!CE31</f>
        <v>3.6161646801653145E-2</v>
      </c>
      <c r="AY122" s="331">
        <f>+'Balance Sheet'!CF11/'Balance Sheet'!CF31</f>
        <v>5.7092900312020967E-2</v>
      </c>
      <c r="AZ122" s="331">
        <f>+'Balance Sheet'!CG11/'Balance Sheet'!CG31</f>
        <v>4.047731815386936E-2</v>
      </c>
      <c r="BA122" s="331">
        <f>+'Balance Sheet'!CH11/'Balance Sheet'!CH31</f>
        <v>5.1357867251477299E-2</v>
      </c>
      <c r="BB122" s="331">
        <f>+'Balance Sheet'!CI11/'Balance Sheet'!CI31</f>
        <v>3.4646349122718495E-2</v>
      </c>
      <c r="BC122" s="331">
        <f>+'Balance Sheet'!CJ11/'Balance Sheet'!CJ31</f>
        <v>3.6789295482849392E-2</v>
      </c>
      <c r="BD122" s="331">
        <f>+'Balance Sheet'!CK11/'Balance Sheet'!CK31</f>
        <v>2.9620122714635353E-2</v>
      </c>
      <c r="BE122" s="331">
        <f>+'Balance Sheet'!CL11/'Balance Sheet'!CL31</f>
        <v>2.2242055131099364E-2</v>
      </c>
      <c r="BF122" s="331">
        <f>+'Balance Sheet'!CM11/'Balance Sheet'!CM31</f>
        <v>2.8455598941082429E-2</v>
      </c>
      <c r="BG122" s="332">
        <f>+'Balance Sheet'!CN11/'Balance Sheet'!CN31</f>
        <v>2.3941227609225735E-2</v>
      </c>
      <c r="BH122" s="331">
        <f>+'Balance Sheet'!CO11/'Balance Sheet'!CO31</f>
        <v>2.7957590298575131E-2</v>
      </c>
      <c r="BI122" s="331">
        <f>+'Balance Sheet'!CP11/'Balance Sheet'!CP31</f>
        <v>3.0345925382382122E-2</v>
      </c>
      <c r="BJ122" s="331">
        <f>+'Balance Sheet'!CQ11/'Balance Sheet'!CQ31</f>
        <v>2.9094867693884911E-2</v>
      </c>
      <c r="BK122" s="331">
        <f>+'Balance Sheet'!CR11/'Balance Sheet'!CR31</f>
        <v>3.7665599514362505E-2</v>
      </c>
      <c r="BL122" s="331">
        <f>+'Balance Sheet'!CS11/'Balance Sheet'!CS31</f>
        <v>3.1583160163561975E-2</v>
      </c>
      <c r="BM122" s="331">
        <f>+'Balance Sheet'!CT11/'Balance Sheet'!CT31</f>
        <v>3.3569076600986153E-2</v>
      </c>
      <c r="BN122" s="331">
        <f>+'Balance Sheet'!CU11/'Balance Sheet'!CU31</f>
        <v>2.6864716987002078E-2</v>
      </c>
      <c r="BO122" s="331">
        <f>+'Balance Sheet'!CV11/'Balance Sheet'!CV31</f>
        <v>3.2126619691494981E-2</v>
      </c>
      <c r="BP122" s="331">
        <f>+'Balance Sheet'!CW11/'Balance Sheet'!CW31</f>
        <v>3.4984785171206262E-2</v>
      </c>
      <c r="BQ122" s="331">
        <f>+'Balance Sheet'!CX11/'Balance Sheet'!CX31</f>
        <v>2.665889152548474E-2</v>
      </c>
      <c r="BR122" s="331">
        <f>+'Balance Sheet'!CY11/'Balance Sheet'!CY31</f>
        <v>2.2426183886303564E-2</v>
      </c>
      <c r="BS122" s="331">
        <f>+'Balance Sheet'!CZ11/'Balance Sheet'!CZ31</f>
        <v>2.4544436789422988E-2</v>
      </c>
      <c r="BT122" s="330">
        <f>+'Balance Sheet'!DA11/'Balance Sheet'!DA31</f>
        <v>4.7619047619047623E-2</v>
      </c>
      <c r="BU122" s="330">
        <f>+'Balance Sheet'!DB11/'Balance Sheet'!DB31</f>
        <v>4.7619047619047616E-2</v>
      </c>
      <c r="BV122" s="330">
        <f>+'Balance Sheet'!DC11/'Balance Sheet'!DC31</f>
        <v>4.7619047619047609E-2</v>
      </c>
      <c r="BW122" s="330">
        <f>+'Balance Sheet'!DD11/'Balance Sheet'!DD31</f>
        <v>4.7619047619047616E-2</v>
      </c>
      <c r="BX122" s="330">
        <f>+'Balance Sheet'!DE11/'Balance Sheet'!DE31</f>
        <v>4.7619047619047609E-2</v>
      </c>
      <c r="BY122" s="330">
        <f>+'Balance Sheet'!DF11/'Balance Sheet'!DF31</f>
        <v>4.7619047619047616E-2</v>
      </c>
      <c r="BZ122" s="330">
        <f>+'Balance Sheet'!DG11/'Balance Sheet'!DG31</f>
        <v>4.7619047619047623E-2</v>
      </c>
      <c r="CA122" s="330">
        <f>+'Balance Sheet'!DH11/'Balance Sheet'!DH31</f>
        <v>4.7619047619047623E-2</v>
      </c>
      <c r="CB122" s="330">
        <f>+'Balance Sheet'!DI11/'Balance Sheet'!DI31</f>
        <v>4.7619047619047623E-2</v>
      </c>
      <c r="CC122" s="330">
        <f>+'Balance Sheet'!DJ11/'Balance Sheet'!DJ31</f>
        <v>4.7619047619047616E-2</v>
      </c>
      <c r="CD122" s="330">
        <f>+'Balance Sheet'!DK11/'Balance Sheet'!DK31</f>
        <v>4.7619047619047616E-2</v>
      </c>
      <c r="CE122" s="330">
        <f>+'Balance Sheet'!DL11/'Balance Sheet'!DL31</f>
        <v>4.7619047619047616E-2</v>
      </c>
      <c r="CF122" s="330">
        <f>+'Balance Sheet'!DM11/'Balance Sheet'!DM31</f>
        <v>4.7619047619047616E-2</v>
      </c>
      <c r="CG122" s="330">
        <f>+'Balance Sheet'!DN11/'Balance Sheet'!DN31</f>
        <v>4.761904761904763E-2</v>
      </c>
      <c r="CH122" s="330">
        <f>+'Balance Sheet'!DO11/'Balance Sheet'!DO31</f>
        <v>4.7619047619047623E-2</v>
      </c>
      <c r="CI122" s="330">
        <f>+'Balance Sheet'!DP11/'Balance Sheet'!DP31</f>
        <v>4.761904761904763E-2</v>
      </c>
      <c r="CJ122" s="330">
        <f>+'Balance Sheet'!DQ11/'Balance Sheet'!DQ31</f>
        <v>4.7619047619047616E-2</v>
      </c>
      <c r="CK122" s="330">
        <f>+'Balance Sheet'!DR11/'Balance Sheet'!DR31</f>
        <v>4.7619047619047616E-2</v>
      </c>
      <c r="CL122" s="330">
        <f>+'Balance Sheet'!DS11/'Balance Sheet'!DS31</f>
        <v>4.7619047619047623E-2</v>
      </c>
      <c r="CM122" s="330">
        <f>+'Balance Sheet'!DT11/'Balance Sheet'!DT31</f>
        <v>4.7619047619047623E-2</v>
      </c>
      <c r="CN122" s="330">
        <f>+'Balance Sheet'!DU11/'Balance Sheet'!DU31</f>
        <v>4.7619047619047623E-2</v>
      </c>
      <c r="CO122" s="330">
        <f>+'Balance Sheet'!DV11/'Balance Sheet'!DV31</f>
        <v>4.7619047619047623E-2</v>
      </c>
      <c r="CP122" s="330">
        <f>+'Balance Sheet'!DW11/'Balance Sheet'!DW31</f>
        <v>4.7619047619047623E-2</v>
      </c>
      <c r="CQ122" s="330">
        <f>+'Balance Sheet'!DX11/'Balance Sheet'!DX31</f>
        <v>4.7619047619047616E-2</v>
      </c>
    </row>
    <row r="123" spans="1:95" s="325" customFormat="1" ht="11.25" customHeight="1">
      <c r="A123" s="329" t="s">
        <v>303</v>
      </c>
      <c r="B123" s="331"/>
      <c r="C123" s="331" t="e">
        <f t="shared" ref="C123:S123" si="584">+C111/C97</f>
        <v>#DIV/0!</v>
      </c>
      <c r="D123" s="331" t="e">
        <f t="shared" si="584"/>
        <v>#DIV/0!</v>
      </c>
      <c r="E123" s="331" t="e">
        <f t="shared" si="584"/>
        <v>#DIV/0!</v>
      </c>
      <c r="F123" s="331" t="e">
        <f t="shared" si="584"/>
        <v>#DIV/0!</v>
      </c>
      <c r="G123" s="331" t="e">
        <f t="shared" si="584"/>
        <v>#DIV/0!</v>
      </c>
      <c r="H123" s="331" t="e">
        <f t="shared" si="584"/>
        <v>#DIV/0!</v>
      </c>
      <c r="I123" s="331">
        <f t="shared" si="584"/>
        <v>0.10433251585370304</v>
      </c>
      <c r="J123" s="331">
        <f t="shared" si="584"/>
        <v>9.8760862111106185E-2</v>
      </c>
      <c r="K123" s="331">
        <f t="shared" si="584"/>
        <v>0.10919005142963548</v>
      </c>
      <c r="L123" s="331">
        <f t="shared" si="584"/>
        <v>0.10129548111867118</v>
      </c>
      <c r="M123" s="331">
        <f t="shared" si="584"/>
        <v>0.10329277143317657</v>
      </c>
      <c r="N123" s="331">
        <f t="shared" si="584"/>
        <v>0.10320641766362686</v>
      </c>
      <c r="O123" s="331">
        <f t="shared" si="584"/>
        <v>0.10358276776635972</v>
      </c>
      <c r="P123" s="330">
        <f t="shared" ca="1" si="584"/>
        <v>0.10929732495747634</v>
      </c>
      <c r="Q123" s="330">
        <f t="shared" ca="1" si="584"/>
        <v>0.11733822982856654</v>
      </c>
      <c r="R123" s="330">
        <f t="shared" ca="1" si="584"/>
        <v>0.12657844294478934</v>
      </c>
      <c r="S123" s="330">
        <f t="shared" ca="1" si="584"/>
        <v>0.13559037103575367</v>
      </c>
      <c r="T123" s="330">
        <f t="shared" ref="T123:U123" ca="1" si="585">+T111/T97</f>
        <v>0.14429047076817009</v>
      </c>
      <c r="U123" s="330">
        <f t="shared" ca="1" si="585"/>
        <v>0.15260842394554835</v>
      </c>
      <c r="V123" s="323"/>
      <c r="W123" s="329" t="s">
        <v>303</v>
      </c>
      <c r="X123" s="331" t="e">
        <f t="shared" ref="X123:BC123" si="586">+X111/X97</f>
        <v>#DIV/0!</v>
      </c>
      <c r="Y123" s="331" t="e">
        <f t="shared" si="586"/>
        <v>#DIV/0!</v>
      </c>
      <c r="Z123" s="331" t="e">
        <f t="shared" si="586"/>
        <v>#DIV/0!</v>
      </c>
      <c r="AA123" s="331" t="e">
        <f t="shared" si="586"/>
        <v>#DIV/0!</v>
      </c>
      <c r="AB123" s="331" t="e">
        <f t="shared" si="586"/>
        <v>#DIV/0!</v>
      </c>
      <c r="AC123" s="331" t="e">
        <f t="shared" si="586"/>
        <v>#DIV/0!</v>
      </c>
      <c r="AD123" s="331" t="e">
        <f t="shared" si="586"/>
        <v>#DIV/0!</v>
      </c>
      <c r="AE123" s="331" t="e">
        <f t="shared" si="586"/>
        <v>#DIV/0!</v>
      </c>
      <c r="AF123" s="331" t="e">
        <f t="shared" si="586"/>
        <v>#DIV/0!</v>
      </c>
      <c r="AG123" s="331" t="e">
        <f t="shared" si="586"/>
        <v>#DIV/0!</v>
      </c>
      <c r="AH123" s="331" t="e">
        <f t="shared" si="586"/>
        <v>#DIV/0!</v>
      </c>
      <c r="AI123" s="331" t="e">
        <f t="shared" si="586"/>
        <v>#DIV/0!</v>
      </c>
      <c r="AJ123" s="331" t="e">
        <f t="shared" si="586"/>
        <v>#DIV/0!</v>
      </c>
      <c r="AK123" s="331" t="e">
        <f t="shared" si="586"/>
        <v>#DIV/0!</v>
      </c>
      <c r="AL123" s="331" t="e">
        <f t="shared" si="586"/>
        <v>#DIV/0!</v>
      </c>
      <c r="AM123" s="331" t="e">
        <f t="shared" si="586"/>
        <v>#DIV/0!</v>
      </c>
      <c r="AN123" s="331" t="e">
        <f t="shared" si="586"/>
        <v>#DIV/0!</v>
      </c>
      <c r="AO123" s="331" t="e">
        <f t="shared" si="586"/>
        <v>#DIV/0!</v>
      </c>
      <c r="AP123" s="331" t="e">
        <f t="shared" si="586"/>
        <v>#DIV/0!</v>
      </c>
      <c r="AQ123" s="331" t="e">
        <f t="shared" si="586"/>
        <v>#DIV/0!</v>
      </c>
      <c r="AR123" s="331">
        <f t="shared" si="586"/>
        <v>7.9161421303346691E-2</v>
      </c>
      <c r="AS123" s="331">
        <f t="shared" si="586"/>
        <v>9.2481661055240583E-2</v>
      </c>
      <c r="AT123" s="331">
        <f t="shared" si="586"/>
        <v>0.10254452838743662</v>
      </c>
      <c r="AU123" s="331">
        <f t="shared" si="586"/>
        <v>0.10433251585370304</v>
      </c>
      <c r="AV123" s="331">
        <f t="shared" si="586"/>
        <v>9.7291257377759677E-2</v>
      </c>
      <c r="AW123" s="331">
        <f t="shared" si="586"/>
        <v>0.10210302858424183</v>
      </c>
      <c r="AX123" s="331">
        <f t="shared" si="586"/>
        <v>0.10110178122663269</v>
      </c>
      <c r="AY123" s="331">
        <f t="shared" si="586"/>
        <v>9.8760862111106185E-2</v>
      </c>
      <c r="AZ123" s="331">
        <f t="shared" si="586"/>
        <v>9.5467360922773026E-2</v>
      </c>
      <c r="BA123" s="331">
        <f t="shared" si="586"/>
        <v>0.10000403510819252</v>
      </c>
      <c r="BB123" s="331">
        <f t="shared" si="586"/>
        <v>0.10428768696917884</v>
      </c>
      <c r="BC123" s="331">
        <f t="shared" si="586"/>
        <v>0.10919005142963548</v>
      </c>
      <c r="BD123" s="331">
        <f t="shared" ref="BD123:CI123" si="587">+BD111/BD97</f>
        <v>0.10227306817256795</v>
      </c>
      <c r="BE123" s="331">
        <f t="shared" si="587"/>
        <v>0.10476946100274009</v>
      </c>
      <c r="BF123" s="331">
        <f t="shared" si="587"/>
        <v>0.10630166331988766</v>
      </c>
      <c r="BG123" s="332">
        <f t="shared" si="587"/>
        <v>0.10129548111867118</v>
      </c>
      <c r="BH123" s="331">
        <f t="shared" si="587"/>
        <v>9.6912562362662505E-2</v>
      </c>
      <c r="BI123" s="331">
        <f t="shared" ref="BI123" si="588">+BI111/BI97</f>
        <v>9.7495778067439698E-2</v>
      </c>
      <c r="BJ123" s="331">
        <f t="shared" si="587"/>
        <v>0.101755481454467</v>
      </c>
      <c r="BK123" s="331">
        <f t="shared" si="587"/>
        <v>0.10329277143317657</v>
      </c>
      <c r="BL123" s="331">
        <f t="shared" ref="BL123" si="589">+BL111/BL97</f>
        <v>9.6424512182479702E-2</v>
      </c>
      <c r="BM123" s="331">
        <f t="shared" si="587"/>
        <v>0.10073324807499001</v>
      </c>
      <c r="BN123" s="331">
        <f t="shared" ref="BN123:BO123" si="590">+BN111/BN97</f>
        <v>0.10112056828487934</v>
      </c>
      <c r="BO123" s="331">
        <f t="shared" si="590"/>
        <v>0.10320641766362686</v>
      </c>
      <c r="BP123" s="331">
        <f t="shared" si="587"/>
        <v>0.10085999185653625</v>
      </c>
      <c r="BQ123" s="331">
        <f t="shared" si="587"/>
        <v>0.10334942448172819</v>
      </c>
      <c r="BR123" s="331">
        <f t="shared" ref="BR123:BS123" si="591">+BR111/BR97</f>
        <v>9.916875803487217E-2</v>
      </c>
      <c r="BS123" s="331">
        <f t="shared" si="591"/>
        <v>0.10358276776635972</v>
      </c>
      <c r="BT123" s="330">
        <f t="shared" ca="1" si="587"/>
        <v>9.7229763936944893E-2</v>
      </c>
      <c r="BU123" s="330">
        <f t="shared" ca="1" si="587"/>
        <v>0.10290041039821943</v>
      </c>
      <c r="BV123" s="330">
        <f t="shared" ca="1" si="587"/>
        <v>0.10378026595589653</v>
      </c>
      <c r="BW123" s="330">
        <f t="shared" ca="1" si="587"/>
        <v>0.10929732495747634</v>
      </c>
      <c r="BX123" s="330">
        <f t="shared" ca="1" si="587"/>
        <v>0.10547008723856874</v>
      </c>
      <c r="BY123" s="330">
        <f t="shared" ca="1" si="587"/>
        <v>0.11083051834945182</v>
      </c>
      <c r="BZ123" s="330">
        <f t="shared" ca="1" si="587"/>
        <v>0.11201405469652917</v>
      </c>
      <c r="CA123" s="330">
        <f t="shared" ca="1" si="587"/>
        <v>0.11733822982856654</v>
      </c>
      <c r="CB123" s="330">
        <f t="shared" ca="1" si="587"/>
        <v>0.11366095758442049</v>
      </c>
      <c r="CC123" s="330">
        <f t="shared" ca="1" si="587"/>
        <v>0.11911476701800104</v>
      </c>
      <c r="CD123" s="330">
        <f t="shared" ca="1" si="587"/>
        <v>0.12107131962713209</v>
      </c>
      <c r="CE123" s="330">
        <f t="shared" ca="1" si="587"/>
        <v>0.12657844294478934</v>
      </c>
      <c r="CF123" s="330">
        <f t="shared" ca="1" si="587"/>
        <v>0.12301061449636289</v>
      </c>
      <c r="CG123" s="330">
        <f t="shared" ca="1" si="587"/>
        <v>0.12824915445650309</v>
      </c>
      <c r="CH123" s="330">
        <f t="shared" ca="1" si="587"/>
        <v>0.13057159519913356</v>
      </c>
      <c r="CI123" s="330">
        <f t="shared" ca="1" si="587"/>
        <v>0.13559037103575367</v>
      </c>
      <c r="CJ123" s="330">
        <f t="shared" ref="CJ123:CM123" ca="1" si="592">+CJ111/CJ97</f>
        <v>0.13212280608550395</v>
      </c>
      <c r="CK123" s="330">
        <f t="shared" ca="1" si="592"/>
        <v>0.13701897468871607</v>
      </c>
      <c r="CL123" s="330">
        <f t="shared" ca="1" si="592"/>
        <v>0.14001004496717875</v>
      </c>
      <c r="CM123" s="330">
        <f t="shared" ca="1" si="592"/>
        <v>0.14429047076817009</v>
      </c>
      <c r="CN123" s="330">
        <f t="shared" ref="CN123:CQ123" ca="1" si="593">+CN111/CN97</f>
        <v>0.14129909541052216</v>
      </c>
      <c r="CO123" s="330">
        <f t="shared" ca="1" si="593"/>
        <v>0.14539185045795097</v>
      </c>
      <c r="CP123" s="330">
        <f t="shared" ca="1" si="593"/>
        <v>0.14916478676132164</v>
      </c>
      <c r="CQ123" s="330">
        <f t="shared" ca="1" si="593"/>
        <v>0.15260842394554835</v>
      </c>
    </row>
    <row r="124" spans="1:95" s="325" customFormat="1" ht="11.25" customHeight="1">
      <c r="A124" s="329" t="s">
        <v>273</v>
      </c>
      <c r="B124" s="331"/>
      <c r="C124" s="331">
        <v>0</v>
      </c>
      <c r="D124" s="331">
        <v>0</v>
      </c>
      <c r="E124" s="331">
        <v>0</v>
      </c>
      <c r="F124" s="331">
        <v>0</v>
      </c>
      <c r="G124" s="331">
        <v>0</v>
      </c>
      <c r="H124" s="331">
        <v>0.12080148887768068</v>
      </c>
      <c r="I124" s="331">
        <v>0.1439671583625933</v>
      </c>
      <c r="J124" s="331">
        <v>0.12841109154210192</v>
      </c>
      <c r="K124" s="331">
        <v>0.14531256995471054</v>
      </c>
      <c r="L124" s="331">
        <v>0.14721334406194911</v>
      </c>
      <c r="M124" s="331">
        <v>0.14459787263297133</v>
      </c>
      <c r="N124" s="331">
        <v>0.14446125459668471</v>
      </c>
      <c r="O124" s="331">
        <v>0.14336383602876035</v>
      </c>
      <c r="P124" s="330">
        <v>0.1413051042908896</v>
      </c>
      <c r="Q124" s="330">
        <v>0.14216109551126163</v>
      </c>
      <c r="R124" s="330">
        <v>0.14424464065014747</v>
      </c>
      <c r="S124" s="330">
        <v>0.14603672686574826</v>
      </c>
      <c r="T124" s="330">
        <v>0.14738943917174069</v>
      </c>
      <c r="U124" s="330">
        <v>0.14830097635585882</v>
      </c>
      <c r="V124" s="323"/>
      <c r="W124" s="329" t="s">
        <v>273</v>
      </c>
      <c r="X124" s="331"/>
      <c r="Y124" s="331">
        <v>0</v>
      </c>
      <c r="Z124" s="331">
        <v>0</v>
      </c>
      <c r="AA124" s="331">
        <v>0</v>
      </c>
      <c r="AB124" s="331">
        <v>0</v>
      </c>
      <c r="AC124" s="331">
        <v>0</v>
      </c>
      <c r="AD124" s="331">
        <v>0</v>
      </c>
      <c r="AE124" s="331">
        <v>0</v>
      </c>
      <c r="AF124" s="331">
        <v>0</v>
      </c>
      <c r="AG124" s="331">
        <v>0</v>
      </c>
      <c r="AH124" s="331">
        <v>0</v>
      </c>
      <c r="AI124" s="331">
        <v>0</v>
      </c>
      <c r="AJ124" s="331">
        <v>0.12485791717351186</v>
      </c>
      <c r="AK124" s="331">
        <v>0.11229463495409213</v>
      </c>
      <c r="AL124" s="331">
        <v>0.11581323614147108</v>
      </c>
      <c r="AM124" s="331">
        <v>0.12248138532103589</v>
      </c>
      <c r="AN124" s="331">
        <v>0.13899580673596618</v>
      </c>
      <c r="AO124" s="331">
        <v>0.13561827669344204</v>
      </c>
      <c r="AP124" s="331">
        <v>0.12427196444518479</v>
      </c>
      <c r="AQ124" s="331">
        <v>0.12080148887768068</v>
      </c>
      <c r="AR124" s="331">
        <v>0.13574292241619862</v>
      </c>
      <c r="AS124" s="331">
        <v>0.13490271385750813</v>
      </c>
      <c r="AT124" s="331">
        <v>0.14459991684976781</v>
      </c>
      <c r="AU124" s="331">
        <v>0.1439671583625933</v>
      </c>
      <c r="AV124" s="331">
        <v>0.14483843674370037</v>
      </c>
      <c r="AW124" s="331">
        <v>0.13623165264887518</v>
      </c>
      <c r="AX124" s="331">
        <v>0.1388889666383783</v>
      </c>
      <c r="AY124" s="331">
        <v>0.12841109154210192</v>
      </c>
      <c r="AZ124" s="331">
        <v>0.13719703520776561</v>
      </c>
      <c r="BA124" s="331">
        <v>0.1352713870788334</v>
      </c>
      <c r="BB124" s="331">
        <v>0.14788434737269524</v>
      </c>
      <c r="BC124" s="331">
        <v>0.14531256995471054</v>
      </c>
      <c r="BD124" s="331">
        <v>0.15348857708167249</v>
      </c>
      <c r="BE124" s="331">
        <v>0.15907774693526167</v>
      </c>
      <c r="BF124" s="331">
        <v>0.14111211438775995</v>
      </c>
      <c r="BG124" s="332">
        <v>0.14721334406194911</v>
      </c>
      <c r="BH124" s="331">
        <v>0.1464922923649824</v>
      </c>
      <c r="BI124" s="331">
        <v>0.15059209382767194</v>
      </c>
      <c r="BJ124" s="331">
        <v>0.14123171279897778</v>
      </c>
      <c r="BK124" s="331">
        <v>0.14459787263297133</v>
      </c>
      <c r="BL124" s="331">
        <v>0.15071170519761551</v>
      </c>
      <c r="BM124" s="331">
        <v>0.14575522380777958</v>
      </c>
      <c r="BN124" s="331">
        <v>0.14782914056756216</v>
      </c>
      <c r="BO124" s="331">
        <v>0.14446125459668471</v>
      </c>
      <c r="BP124" s="331">
        <v>0.14548074861432797</v>
      </c>
      <c r="BQ124" s="331">
        <v>0.14378943218344942</v>
      </c>
      <c r="BR124" s="331">
        <v>0.13891672262766147</v>
      </c>
      <c r="BS124" s="331">
        <v>0.14336383602876035</v>
      </c>
      <c r="BT124" s="330">
        <v>0.13380963397774182</v>
      </c>
      <c r="BU124" s="330">
        <v>0.13862928436183053</v>
      </c>
      <c r="BV124" s="330">
        <v>0.13690632387213128</v>
      </c>
      <c r="BW124" s="330">
        <v>0.1413051042908896</v>
      </c>
      <c r="BX124" s="330">
        <v>0.13544170329183258</v>
      </c>
      <c r="BY124" s="330">
        <v>0.13945969450857662</v>
      </c>
      <c r="BZ124" s="330">
        <v>0.13824200339327364</v>
      </c>
      <c r="CA124" s="330">
        <v>0.14216109551126163</v>
      </c>
      <c r="CB124" s="330">
        <v>0.13683351751607503</v>
      </c>
      <c r="CC124" s="330">
        <v>0.14069943864276613</v>
      </c>
      <c r="CD124" s="330">
        <v>0.14041556608451045</v>
      </c>
      <c r="CE124" s="330">
        <v>0.14424464065014747</v>
      </c>
      <c r="CF124" s="330">
        <v>0.13928583946538847</v>
      </c>
      <c r="CG124" s="330">
        <v>0.14270640266021781</v>
      </c>
      <c r="CH124" s="330">
        <v>0.1428852187706022</v>
      </c>
      <c r="CI124" s="330">
        <v>0.14603672686574828</v>
      </c>
      <c r="CJ124" s="330">
        <v>0.14141083802951041</v>
      </c>
      <c r="CK124" s="330">
        <v>0.14429647295959139</v>
      </c>
      <c r="CL124" s="330">
        <v>0.14516383746744393</v>
      </c>
      <c r="CM124" s="330">
        <v>0.14738943917174072</v>
      </c>
      <c r="CN124" s="330">
        <v>0.14342118168656648</v>
      </c>
      <c r="CO124" s="330">
        <v>0.14536536927540009</v>
      </c>
      <c r="CP124" s="330">
        <v>0.14698733357669616</v>
      </c>
      <c r="CQ124" s="330">
        <v>0.14830097635585884</v>
      </c>
    </row>
    <row r="125" spans="1:95" s="325" customFormat="1" ht="11.25" customHeight="1">
      <c r="A125" s="329"/>
      <c r="P125" s="326"/>
      <c r="Q125" s="326"/>
      <c r="R125" s="326"/>
      <c r="S125" s="326"/>
      <c r="T125" s="326"/>
      <c r="U125" s="326"/>
      <c r="V125" s="323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329"/>
      <c r="AJ125" s="329"/>
      <c r="AK125" s="329"/>
      <c r="AL125" s="329"/>
      <c r="AM125" s="329"/>
      <c r="AN125" s="329"/>
      <c r="AO125" s="329"/>
      <c r="AP125" s="329"/>
      <c r="AQ125" s="329"/>
      <c r="AR125" s="329"/>
      <c r="AS125" s="329"/>
      <c r="AT125" s="329"/>
      <c r="AU125" s="329"/>
      <c r="AV125" s="329"/>
      <c r="AW125" s="329"/>
      <c r="AX125" s="329"/>
      <c r="AY125" s="329"/>
      <c r="AZ125" s="329"/>
      <c r="BA125" s="329"/>
      <c r="BB125" s="329"/>
      <c r="BC125" s="329"/>
      <c r="BD125" s="329"/>
      <c r="BE125" s="329"/>
      <c r="BF125" s="329"/>
      <c r="BG125" s="349"/>
      <c r="BH125" s="329"/>
      <c r="BI125" s="329"/>
      <c r="BJ125" s="329"/>
      <c r="BK125" s="329"/>
      <c r="BL125" s="329"/>
      <c r="BM125" s="329"/>
      <c r="BN125" s="329"/>
      <c r="BO125" s="329"/>
      <c r="BP125" s="329"/>
      <c r="BQ125" s="329"/>
      <c r="BR125" s="329"/>
      <c r="BS125" s="329"/>
      <c r="BT125" s="348"/>
      <c r="BU125" s="348"/>
      <c r="BV125" s="348"/>
      <c r="BW125" s="348"/>
      <c r="BX125" s="348"/>
      <c r="BY125" s="348"/>
      <c r="BZ125" s="348"/>
      <c r="CA125" s="348"/>
      <c r="CB125" s="348"/>
      <c r="CC125" s="348"/>
      <c r="CD125" s="348"/>
      <c r="CE125" s="348"/>
      <c r="CF125" s="348"/>
      <c r="CG125" s="348"/>
      <c r="CH125" s="348"/>
      <c r="CI125" s="348"/>
      <c r="CJ125" s="348"/>
      <c r="CK125" s="348"/>
      <c r="CL125" s="348"/>
      <c r="CM125" s="348"/>
      <c r="CN125" s="348"/>
      <c r="CO125" s="348"/>
      <c r="CP125" s="348"/>
      <c r="CQ125" s="348"/>
    </row>
    <row r="126" spans="1:95" s="325" customFormat="1" ht="11.25" customHeight="1">
      <c r="A126" s="354" t="s">
        <v>302</v>
      </c>
      <c r="B126" s="299">
        <f t="shared" ref="B126:S126" si="594">+B118</f>
        <v>2002</v>
      </c>
      <c r="C126" s="299">
        <f t="shared" si="594"/>
        <v>2003</v>
      </c>
      <c r="D126" s="299">
        <f t="shared" si="594"/>
        <v>2004</v>
      </c>
      <c r="E126" s="299">
        <f t="shared" si="594"/>
        <v>2005</v>
      </c>
      <c r="F126" s="299">
        <f t="shared" si="594"/>
        <v>2006</v>
      </c>
      <c r="G126" s="299">
        <f t="shared" si="594"/>
        <v>2007</v>
      </c>
      <c r="H126" s="299">
        <f t="shared" si="594"/>
        <v>2008</v>
      </c>
      <c r="I126" s="299">
        <f t="shared" si="594"/>
        <v>2009</v>
      </c>
      <c r="J126" s="299">
        <f t="shared" si="594"/>
        <v>2010</v>
      </c>
      <c r="K126" s="299">
        <f t="shared" si="594"/>
        <v>2011</v>
      </c>
      <c r="L126" s="299">
        <f t="shared" si="594"/>
        <v>2012</v>
      </c>
      <c r="M126" s="299">
        <f t="shared" si="594"/>
        <v>2013</v>
      </c>
      <c r="N126" s="299">
        <f t="shared" si="594"/>
        <v>2014</v>
      </c>
      <c r="O126" s="299">
        <f t="shared" si="594"/>
        <v>2015</v>
      </c>
      <c r="P126" s="181" t="str">
        <f t="shared" si="594"/>
        <v>2016E</v>
      </c>
      <c r="Q126" s="181" t="str">
        <f t="shared" si="594"/>
        <v>2017E</v>
      </c>
      <c r="R126" s="181" t="str">
        <f t="shared" si="594"/>
        <v>2018E</v>
      </c>
      <c r="S126" s="181" t="str">
        <f t="shared" si="594"/>
        <v>2019E</v>
      </c>
      <c r="T126" s="181" t="str">
        <f t="shared" ref="T126:U126" si="595">+T118</f>
        <v>2020E</v>
      </c>
      <c r="U126" s="181" t="str">
        <f t="shared" si="595"/>
        <v>2021E</v>
      </c>
      <c r="V126" s="323"/>
      <c r="W126" s="354" t="s">
        <v>302</v>
      </c>
      <c r="X126" s="352"/>
      <c r="Y126" s="352" t="str">
        <f t="shared" ref="Y126:BD126" si="596">+Y118</f>
        <v>2Q04</v>
      </c>
      <c r="Z126" s="352" t="str">
        <f t="shared" si="596"/>
        <v>3Q04</v>
      </c>
      <c r="AA126" s="352" t="str">
        <f t="shared" si="596"/>
        <v>4Q04</v>
      </c>
      <c r="AB126" s="352" t="str">
        <f t="shared" si="596"/>
        <v>1Q05</v>
      </c>
      <c r="AC126" s="352" t="str">
        <f t="shared" si="596"/>
        <v>2Q05</v>
      </c>
      <c r="AD126" s="352" t="str">
        <f t="shared" si="596"/>
        <v>3Q05</v>
      </c>
      <c r="AE126" s="352" t="str">
        <f t="shared" si="596"/>
        <v>4Q05</v>
      </c>
      <c r="AF126" s="352" t="str">
        <f t="shared" si="596"/>
        <v>1Q06</v>
      </c>
      <c r="AG126" s="352" t="str">
        <f t="shared" si="596"/>
        <v>2Q06</v>
      </c>
      <c r="AH126" s="352" t="str">
        <f t="shared" si="596"/>
        <v>3Q06</v>
      </c>
      <c r="AI126" s="352" t="str">
        <f t="shared" si="596"/>
        <v>4Q06</v>
      </c>
      <c r="AJ126" s="352" t="str">
        <f t="shared" si="596"/>
        <v>1Q07</v>
      </c>
      <c r="AK126" s="352" t="str">
        <f t="shared" si="596"/>
        <v>2Q07</v>
      </c>
      <c r="AL126" s="352" t="str">
        <f t="shared" si="596"/>
        <v>3Q07</v>
      </c>
      <c r="AM126" s="352" t="str">
        <f t="shared" si="596"/>
        <v>4Q07</v>
      </c>
      <c r="AN126" s="352" t="str">
        <f t="shared" si="596"/>
        <v>1Q08</v>
      </c>
      <c r="AO126" s="352" t="str">
        <f t="shared" si="596"/>
        <v>2Q08</v>
      </c>
      <c r="AP126" s="352" t="str">
        <f t="shared" si="596"/>
        <v>3Q08</v>
      </c>
      <c r="AQ126" s="352" t="str">
        <f t="shared" si="596"/>
        <v>4Q08</v>
      </c>
      <c r="AR126" s="352" t="str">
        <f t="shared" si="596"/>
        <v>1Q09</v>
      </c>
      <c r="AS126" s="352" t="str">
        <f t="shared" si="596"/>
        <v>2Q09</v>
      </c>
      <c r="AT126" s="352" t="str">
        <f t="shared" si="596"/>
        <v>3Q09</v>
      </c>
      <c r="AU126" s="352" t="str">
        <f t="shared" si="596"/>
        <v>4Q09</v>
      </c>
      <c r="AV126" s="352" t="str">
        <f t="shared" si="596"/>
        <v>1Q10</v>
      </c>
      <c r="AW126" s="352" t="str">
        <f t="shared" si="596"/>
        <v>2Q10</v>
      </c>
      <c r="AX126" s="352" t="str">
        <f t="shared" si="596"/>
        <v>3Q10</v>
      </c>
      <c r="AY126" s="352" t="str">
        <f t="shared" si="596"/>
        <v>4Q10</v>
      </c>
      <c r="AZ126" s="352" t="str">
        <f t="shared" si="596"/>
        <v>1Q11</v>
      </c>
      <c r="BA126" s="352" t="str">
        <f t="shared" si="596"/>
        <v>2Q11</v>
      </c>
      <c r="BB126" s="352" t="str">
        <f t="shared" si="596"/>
        <v>3Q11</v>
      </c>
      <c r="BC126" s="352" t="str">
        <f t="shared" si="596"/>
        <v>4Q11</v>
      </c>
      <c r="BD126" s="352" t="str">
        <f t="shared" si="596"/>
        <v>1Q12</v>
      </c>
      <c r="BE126" s="352" t="str">
        <f t="shared" ref="BE126:CI126" si="597">+BE118</f>
        <v>2Q12</v>
      </c>
      <c r="BF126" s="352" t="str">
        <f t="shared" si="597"/>
        <v>3Q12</v>
      </c>
      <c r="BG126" s="353" t="str">
        <f t="shared" si="597"/>
        <v>4Q12</v>
      </c>
      <c r="BH126" s="352" t="str">
        <f t="shared" si="597"/>
        <v>1Q13</v>
      </c>
      <c r="BI126" s="352" t="str">
        <f t="shared" ref="BI126" si="598">+BI118</f>
        <v>2Q13</v>
      </c>
      <c r="BJ126" s="352" t="str">
        <f t="shared" si="597"/>
        <v>3Q13</v>
      </c>
      <c r="BK126" s="352" t="str">
        <f t="shared" si="597"/>
        <v>4Q13</v>
      </c>
      <c r="BL126" s="352" t="str">
        <f t="shared" ref="BL126" si="599">+BL118</f>
        <v>1Q14</v>
      </c>
      <c r="BM126" s="352" t="str">
        <f t="shared" si="597"/>
        <v>2Q14</v>
      </c>
      <c r="BN126" s="352" t="str">
        <f t="shared" ref="BN126:BO126" si="600">+BN118</f>
        <v>3Q14</v>
      </c>
      <c r="BO126" s="352" t="str">
        <f t="shared" si="600"/>
        <v>4Q14</v>
      </c>
      <c r="BP126" s="352" t="str">
        <f t="shared" si="597"/>
        <v>1Q15</v>
      </c>
      <c r="BQ126" s="352" t="str">
        <f t="shared" si="597"/>
        <v>2Q15</v>
      </c>
      <c r="BR126" s="352" t="str">
        <f t="shared" ref="BR126:BS126" si="601">+BR118</f>
        <v>3Q15</v>
      </c>
      <c r="BS126" s="352" t="str">
        <f t="shared" si="601"/>
        <v>4Q15</v>
      </c>
      <c r="BT126" s="181" t="str">
        <f t="shared" si="597"/>
        <v>1Q16E</v>
      </c>
      <c r="BU126" s="181" t="str">
        <f t="shared" si="597"/>
        <v>2Q16E</v>
      </c>
      <c r="BV126" s="181" t="str">
        <f t="shared" si="597"/>
        <v>3Q16E</v>
      </c>
      <c r="BW126" s="181" t="str">
        <f t="shared" si="597"/>
        <v>4Q16E</v>
      </c>
      <c r="BX126" s="181" t="str">
        <f t="shared" si="597"/>
        <v>1Q17E</v>
      </c>
      <c r="BY126" s="181" t="str">
        <f t="shared" si="597"/>
        <v>2Q17E</v>
      </c>
      <c r="BZ126" s="181" t="str">
        <f t="shared" si="597"/>
        <v>3Q17E</v>
      </c>
      <c r="CA126" s="181" t="str">
        <f t="shared" si="597"/>
        <v>4Q17E</v>
      </c>
      <c r="CB126" s="181" t="str">
        <f t="shared" si="597"/>
        <v>1Q18E</v>
      </c>
      <c r="CC126" s="181" t="str">
        <f t="shared" si="597"/>
        <v>2Q18E</v>
      </c>
      <c r="CD126" s="181" t="str">
        <f t="shared" si="597"/>
        <v>3Q18E</v>
      </c>
      <c r="CE126" s="181" t="str">
        <f t="shared" si="597"/>
        <v>4Q18E</v>
      </c>
      <c r="CF126" s="181" t="str">
        <f t="shared" si="597"/>
        <v>1Q19E</v>
      </c>
      <c r="CG126" s="181" t="str">
        <f t="shared" si="597"/>
        <v>2Q19E</v>
      </c>
      <c r="CH126" s="181" t="str">
        <f t="shared" si="597"/>
        <v>3Q19E</v>
      </c>
      <c r="CI126" s="181" t="str">
        <f t="shared" si="597"/>
        <v>4Q19E</v>
      </c>
      <c r="CJ126" s="181" t="str">
        <f t="shared" ref="CJ126:CM126" si="602">+CJ118</f>
        <v>1Q20E</v>
      </c>
      <c r="CK126" s="181" t="str">
        <f t="shared" si="602"/>
        <v>2Q20E</v>
      </c>
      <c r="CL126" s="181" t="str">
        <f t="shared" si="602"/>
        <v>3Q20E</v>
      </c>
      <c r="CM126" s="181" t="str">
        <f t="shared" si="602"/>
        <v>4Q20E</v>
      </c>
      <c r="CN126" s="181" t="str">
        <f t="shared" ref="CN126:CQ126" si="603">+CN118</f>
        <v>1Q21E</v>
      </c>
      <c r="CO126" s="181" t="str">
        <f t="shared" si="603"/>
        <v>2Q21E</v>
      </c>
      <c r="CP126" s="181" t="str">
        <f t="shared" si="603"/>
        <v>3Q21E</v>
      </c>
      <c r="CQ126" s="181" t="str">
        <f t="shared" si="603"/>
        <v>4Q21E</v>
      </c>
    </row>
    <row r="127" spans="1:95" s="325" customFormat="1" ht="11.25" customHeight="1">
      <c r="A127" s="329" t="s">
        <v>301</v>
      </c>
      <c r="B127" s="346"/>
      <c r="C127" s="346">
        <f t="shared" ref="C127:U127" si="604">+AVERAGE(B113:C113)</f>
        <v>0</v>
      </c>
      <c r="D127" s="346">
        <f t="shared" si="604"/>
        <v>0</v>
      </c>
      <c r="E127" s="346">
        <f t="shared" si="604"/>
        <v>0</v>
      </c>
      <c r="F127" s="346">
        <f t="shared" si="604"/>
        <v>0</v>
      </c>
      <c r="G127" s="346">
        <f t="shared" si="604"/>
        <v>0</v>
      </c>
      <c r="H127" s="346">
        <f t="shared" si="604"/>
        <v>0</v>
      </c>
      <c r="I127" s="346">
        <f>I113</f>
        <v>56937.125951994516</v>
      </c>
      <c r="J127" s="346">
        <f t="shared" si="604"/>
        <v>63975.200342287601</v>
      </c>
      <c r="K127" s="346">
        <f t="shared" si="604"/>
        <v>73186.338489290152</v>
      </c>
      <c r="L127" s="346">
        <f t="shared" si="604"/>
        <v>83728.419243898534</v>
      </c>
      <c r="M127" s="346">
        <f t="shared" si="604"/>
        <v>97064.143170162948</v>
      </c>
      <c r="N127" s="346">
        <f t="shared" si="604"/>
        <v>111535.87804926421</v>
      </c>
      <c r="O127" s="346">
        <f t="shared" si="604"/>
        <v>132072.1035</v>
      </c>
      <c r="P127" s="345">
        <f t="shared" si="604"/>
        <v>149288.52659472893</v>
      </c>
      <c r="Q127" s="345">
        <f t="shared" si="604"/>
        <v>162933.15504723162</v>
      </c>
      <c r="R127" s="345">
        <f t="shared" si="604"/>
        <v>178412.32993708184</v>
      </c>
      <c r="S127" s="345">
        <f t="shared" si="604"/>
        <v>195502.77658149492</v>
      </c>
      <c r="T127" s="345">
        <f t="shared" si="604"/>
        <v>215130.78580909938</v>
      </c>
      <c r="U127" s="345">
        <f t="shared" si="604"/>
        <v>237941.04364979861</v>
      </c>
      <c r="V127" s="323"/>
      <c r="W127" s="329" t="s">
        <v>301</v>
      </c>
      <c r="X127" s="358">
        <v>0</v>
      </c>
      <c r="Y127" s="358">
        <f t="shared" ref="Y127:BD127" si="605">+AVERAGE(X113:Y113)</f>
        <v>0</v>
      </c>
      <c r="Z127" s="358">
        <f t="shared" si="605"/>
        <v>0</v>
      </c>
      <c r="AA127" s="358">
        <f t="shared" si="605"/>
        <v>0</v>
      </c>
      <c r="AB127" s="358">
        <f t="shared" si="605"/>
        <v>0</v>
      </c>
      <c r="AC127" s="358">
        <f t="shared" si="605"/>
        <v>0</v>
      </c>
      <c r="AD127" s="358">
        <f t="shared" si="605"/>
        <v>0</v>
      </c>
      <c r="AE127" s="358">
        <f t="shared" si="605"/>
        <v>0</v>
      </c>
      <c r="AF127" s="358">
        <f t="shared" si="605"/>
        <v>0</v>
      </c>
      <c r="AG127" s="358">
        <f t="shared" si="605"/>
        <v>0</v>
      </c>
      <c r="AH127" s="358">
        <f t="shared" si="605"/>
        <v>0</v>
      </c>
      <c r="AI127" s="358">
        <f t="shared" si="605"/>
        <v>0</v>
      </c>
      <c r="AJ127" s="358">
        <f t="shared" si="605"/>
        <v>0</v>
      </c>
      <c r="AK127" s="358">
        <f t="shared" si="605"/>
        <v>0</v>
      </c>
      <c r="AL127" s="358">
        <f t="shared" si="605"/>
        <v>0</v>
      </c>
      <c r="AM127" s="358">
        <f t="shared" si="605"/>
        <v>0</v>
      </c>
      <c r="AN127" s="358">
        <f t="shared" si="605"/>
        <v>0</v>
      </c>
      <c r="AO127" s="358">
        <f t="shared" si="605"/>
        <v>0</v>
      </c>
      <c r="AP127" s="358">
        <f t="shared" si="605"/>
        <v>0</v>
      </c>
      <c r="AQ127" s="358">
        <f t="shared" si="605"/>
        <v>0</v>
      </c>
      <c r="AR127" s="567">
        <f>AR113</f>
        <v>59162.345779853633</v>
      </c>
      <c r="AS127" s="358">
        <f t="shared" si="605"/>
        <v>57468.514985769412</v>
      </c>
      <c r="AT127" s="358">
        <f t="shared" si="605"/>
        <v>54362.971429839374</v>
      </c>
      <c r="AU127" s="358">
        <f t="shared" si="605"/>
        <v>54944.192309994032</v>
      </c>
      <c r="AV127" s="358">
        <f t="shared" si="605"/>
        <v>57834.746634628187</v>
      </c>
      <c r="AW127" s="358">
        <f t="shared" si="605"/>
        <v>59333.75151505394</v>
      </c>
      <c r="AX127" s="358">
        <f t="shared" si="605"/>
        <v>63426.108703582562</v>
      </c>
      <c r="AY127" s="358">
        <f t="shared" si="605"/>
        <v>68965.178213449894</v>
      </c>
      <c r="AZ127" s="358">
        <f t="shared" si="605"/>
        <v>72504.570543569338</v>
      </c>
      <c r="BA127" s="358">
        <f t="shared" si="605"/>
        <v>73279.946861270684</v>
      </c>
      <c r="BB127" s="358">
        <f t="shared" si="605"/>
        <v>73525.840173592384</v>
      </c>
      <c r="BC127" s="358">
        <f t="shared" si="605"/>
        <v>74923.527612600505</v>
      </c>
      <c r="BD127" s="358">
        <f t="shared" si="605"/>
        <v>79158.690929164033</v>
      </c>
      <c r="BE127" s="358">
        <f t="shared" ref="BE127:CI127" si="606">+AVERAGE(BD113:BE113)</f>
        <v>84230.299956395582</v>
      </c>
      <c r="BF127" s="358">
        <f t="shared" si="606"/>
        <v>85820.173192327667</v>
      </c>
      <c r="BG127" s="359">
        <f t="shared" si="606"/>
        <v>89117.581162995048</v>
      </c>
      <c r="BH127" s="358">
        <f t="shared" si="606"/>
        <v>94727.758317312226</v>
      </c>
      <c r="BI127" s="358">
        <f t="shared" si="606"/>
        <v>97812.16542362055</v>
      </c>
      <c r="BJ127" s="358">
        <f t="shared" si="606"/>
        <v>98939.419433150892</v>
      </c>
      <c r="BK127" s="358">
        <f t="shared" si="606"/>
        <v>100821.71925520804</v>
      </c>
      <c r="BL127" s="358">
        <f t="shared" si="606"/>
        <v>106243.73804926421</v>
      </c>
      <c r="BM127" s="358">
        <f t="shared" si="606"/>
        <v>111629.35</v>
      </c>
      <c r="BN127" s="358">
        <f t="shared" si="606"/>
        <v>115659.57149999999</v>
      </c>
      <c r="BO127" s="358">
        <f t="shared" si="606"/>
        <v>119778.9875</v>
      </c>
      <c r="BP127" s="358">
        <f t="shared" si="606"/>
        <v>123485.73149999999</v>
      </c>
      <c r="BQ127" s="358">
        <f t="shared" si="606"/>
        <v>127959.73149999999</v>
      </c>
      <c r="BR127" s="358">
        <f t="shared" si="606"/>
        <v>134854.2935</v>
      </c>
      <c r="BS127" s="358">
        <f t="shared" si="606"/>
        <v>141411.49100000001</v>
      </c>
      <c r="BT127" s="357">
        <f t="shared" si="606"/>
        <v>146422.10420688824</v>
      </c>
      <c r="BU127" s="357">
        <f t="shared" si="606"/>
        <v>149333.64335125455</v>
      </c>
      <c r="BV127" s="357">
        <f t="shared" si="606"/>
        <v>152314.69037789572</v>
      </c>
      <c r="BW127" s="357">
        <f t="shared" si="606"/>
        <v>155588.37682825833</v>
      </c>
      <c r="BX127" s="357">
        <f t="shared" si="606"/>
        <v>158895.601646125</v>
      </c>
      <c r="BY127" s="357">
        <f t="shared" si="606"/>
        <v>162580.81675750646</v>
      </c>
      <c r="BZ127" s="357">
        <f t="shared" si="606"/>
        <v>166326.96213593817</v>
      </c>
      <c r="CA127" s="357">
        <f t="shared" si="606"/>
        <v>170101.14988233044</v>
      </c>
      <c r="CB127" s="357">
        <f t="shared" si="606"/>
        <v>173740.4337980242</v>
      </c>
      <c r="CC127" s="357">
        <f t="shared" si="606"/>
        <v>177689.10597700742</v>
      </c>
      <c r="CD127" s="357">
        <f t="shared" si="606"/>
        <v>181690.88683555872</v>
      </c>
      <c r="CE127" s="357">
        <f t="shared" si="606"/>
        <v>185761.98668865202</v>
      </c>
      <c r="CF127" s="357">
        <f t="shared" si="606"/>
        <v>189782.7756139948</v>
      </c>
      <c r="CG127" s="357">
        <f t="shared" si="606"/>
        <v>194236.48982840561</v>
      </c>
      <c r="CH127" s="357">
        <f t="shared" si="606"/>
        <v>198740.88109156553</v>
      </c>
      <c r="CI127" s="357">
        <f t="shared" si="606"/>
        <v>203357.84148949129</v>
      </c>
      <c r="CJ127" s="357">
        <f t="shared" ref="CJ127" si="607">+AVERAGE(CI113:CJ113)</f>
        <v>207900.68467498024</v>
      </c>
      <c r="CK127" s="357">
        <f t="shared" ref="CK127" si="608">+AVERAGE(CJ113:CK113)</f>
        <v>212962.51305419652</v>
      </c>
      <c r="CL127" s="357">
        <f t="shared" ref="CL127" si="609">+AVERAGE(CK113:CL113)</f>
        <v>217995.08671275573</v>
      </c>
      <c r="CM127" s="357">
        <f t="shared" ref="CM127" si="610">+AVERAGE(CL113:CM113)</f>
        <v>223490.59294880729</v>
      </c>
      <c r="CN127" s="357">
        <f t="shared" ref="CN127" si="611">+AVERAGE(CM113:CN113)</f>
        <v>228771.52495170748</v>
      </c>
      <c r="CO127" s="357">
        <f t="shared" ref="CO127" si="612">+AVERAGE(CN113:CO113)</f>
        <v>234657.73534824126</v>
      </c>
      <c r="CP127" s="357">
        <f t="shared" ref="CP127" si="613">+AVERAGE(CO113:CP113)</f>
        <v>240533.8648965832</v>
      </c>
      <c r="CQ127" s="357">
        <f t="shared" ref="CQ127" si="614">+AVERAGE(CP113:CQ113)</f>
        <v>246900.57772548078</v>
      </c>
    </row>
    <row r="128" spans="1:95" s="325" customFormat="1" ht="11.25" customHeight="1">
      <c r="A128" s="336" t="s">
        <v>295</v>
      </c>
      <c r="B128" s="334"/>
      <c r="C128" s="334"/>
      <c r="D128" s="334" t="e">
        <f t="shared" ref="D128:U128" si="615">+D127/C127-1</f>
        <v>#DIV/0!</v>
      </c>
      <c r="E128" s="334" t="e">
        <f t="shared" si="615"/>
        <v>#DIV/0!</v>
      </c>
      <c r="F128" s="334" t="e">
        <f t="shared" si="615"/>
        <v>#DIV/0!</v>
      </c>
      <c r="G128" s="334" t="e">
        <f t="shared" si="615"/>
        <v>#DIV/0!</v>
      </c>
      <c r="H128" s="334" t="e">
        <f t="shared" si="615"/>
        <v>#DIV/0!</v>
      </c>
      <c r="I128" s="334" t="e">
        <f t="shared" si="615"/>
        <v>#DIV/0!</v>
      </c>
      <c r="J128" s="334">
        <f t="shared" si="615"/>
        <v>0.12361133922051337</v>
      </c>
      <c r="K128" s="334">
        <f t="shared" si="615"/>
        <v>0.14397982495904738</v>
      </c>
      <c r="L128" s="334">
        <f t="shared" si="615"/>
        <v>0.14404438003345499</v>
      </c>
      <c r="M128" s="334">
        <f t="shared" si="615"/>
        <v>0.15927356621194333</v>
      </c>
      <c r="N128" s="334">
        <f t="shared" si="615"/>
        <v>0.14909455136003102</v>
      </c>
      <c r="O128" s="334">
        <f t="shared" si="615"/>
        <v>0.18412214804697324</v>
      </c>
      <c r="P128" s="333">
        <f t="shared" si="615"/>
        <v>0.13035624207142971</v>
      </c>
      <c r="Q128" s="333">
        <f t="shared" si="615"/>
        <v>9.139770325112484E-2</v>
      </c>
      <c r="R128" s="333">
        <f t="shared" si="615"/>
        <v>9.5003223164512374E-2</v>
      </c>
      <c r="S128" s="333">
        <f t="shared" si="615"/>
        <v>9.5791847180293654E-2</v>
      </c>
      <c r="T128" s="333">
        <f t="shared" si="615"/>
        <v>0.100397598288956</v>
      </c>
      <c r="U128" s="333">
        <f t="shared" si="615"/>
        <v>0.10602972398818067</v>
      </c>
      <c r="V128" s="323"/>
      <c r="W128" s="336" t="s">
        <v>295</v>
      </c>
      <c r="X128" s="334">
        <v>0</v>
      </c>
      <c r="Y128" s="334">
        <v>0</v>
      </c>
      <c r="Z128" s="334" t="e">
        <f t="shared" ref="Z128:BE128" si="616">+Z127/Y127-1</f>
        <v>#DIV/0!</v>
      </c>
      <c r="AA128" s="334" t="e">
        <f t="shared" si="616"/>
        <v>#DIV/0!</v>
      </c>
      <c r="AB128" s="334" t="e">
        <f t="shared" si="616"/>
        <v>#DIV/0!</v>
      </c>
      <c r="AC128" s="334" t="e">
        <f t="shared" si="616"/>
        <v>#DIV/0!</v>
      </c>
      <c r="AD128" s="334" t="e">
        <f t="shared" si="616"/>
        <v>#DIV/0!</v>
      </c>
      <c r="AE128" s="334" t="e">
        <f t="shared" si="616"/>
        <v>#DIV/0!</v>
      </c>
      <c r="AF128" s="334" t="e">
        <f t="shared" si="616"/>
        <v>#DIV/0!</v>
      </c>
      <c r="AG128" s="334" t="e">
        <f t="shared" si="616"/>
        <v>#DIV/0!</v>
      </c>
      <c r="AH128" s="334" t="e">
        <f t="shared" si="616"/>
        <v>#DIV/0!</v>
      </c>
      <c r="AI128" s="334" t="e">
        <f t="shared" si="616"/>
        <v>#DIV/0!</v>
      </c>
      <c r="AJ128" s="334" t="e">
        <f t="shared" si="616"/>
        <v>#DIV/0!</v>
      </c>
      <c r="AK128" s="334" t="e">
        <f t="shared" si="616"/>
        <v>#DIV/0!</v>
      </c>
      <c r="AL128" s="334" t="e">
        <f t="shared" si="616"/>
        <v>#DIV/0!</v>
      </c>
      <c r="AM128" s="334" t="e">
        <f t="shared" si="616"/>
        <v>#DIV/0!</v>
      </c>
      <c r="AN128" s="334" t="e">
        <f t="shared" si="616"/>
        <v>#DIV/0!</v>
      </c>
      <c r="AO128" s="334" t="e">
        <f t="shared" si="616"/>
        <v>#DIV/0!</v>
      </c>
      <c r="AP128" s="334" t="e">
        <f t="shared" si="616"/>
        <v>#DIV/0!</v>
      </c>
      <c r="AQ128" s="334" t="e">
        <f t="shared" si="616"/>
        <v>#DIV/0!</v>
      </c>
      <c r="AR128" s="334" t="e">
        <f t="shared" si="616"/>
        <v>#DIV/0!</v>
      </c>
      <c r="AS128" s="334">
        <f t="shared" si="616"/>
        <v>-2.863021693539769E-2</v>
      </c>
      <c r="AT128" s="334">
        <f t="shared" si="616"/>
        <v>-5.4039043060344349E-2</v>
      </c>
      <c r="AU128" s="334">
        <f t="shared" si="616"/>
        <v>1.0691484752719527E-2</v>
      </c>
      <c r="AV128" s="334">
        <f t="shared" si="616"/>
        <v>5.2608914666097961E-2</v>
      </c>
      <c r="AW128" s="334">
        <f t="shared" si="616"/>
        <v>2.591875935578547E-2</v>
      </c>
      <c r="AX128" s="334">
        <f t="shared" si="616"/>
        <v>6.897182605233243E-2</v>
      </c>
      <c r="AY128" s="334">
        <f t="shared" si="616"/>
        <v>8.733106323381401E-2</v>
      </c>
      <c r="AZ128" s="334">
        <f t="shared" si="616"/>
        <v>5.1321441078059582E-2</v>
      </c>
      <c r="BA128" s="334">
        <f t="shared" si="616"/>
        <v>1.0694171579644252E-2</v>
      </c>
      <c r="BB128" s="334">
        <f t="shared" si="616"/>
        <v>3.3555334420098948E-3</v>
      </c>
      <c r="BC128" s="334">
        <f t="shared" si="616"/>
        <v>1.9009472529769367E-2</v>
      </c>
      <c r="BD128" s="334">
        <f t="shared" si="616"/>
        <v>5.6526480419633485E-2</v>
      </c>
      <c r="BE128" s="334">
        <f t="shared" si="616"/>
        <v>6.4068884511618851E-2</v>
      </c>
      <c r="BF128" s="334">
        <f t="shared" ref="BF128:CI128" si="617">+BF127/BE127-1</f>
        <v>1.8875312527144361E-2</v>
      </c>
      <c r="BG128" s="335">
        <f t="shared" si="617"/>
        <v>3.8422294525993328E-2</v>
      </c>
      <c r="BH128" s="334">
        <f t="shared" si="617"/>
        <v>6.2952529468413454E-2</v>
      </c>
      <c r="BI128" s="334">
        <f t="shared" si="617"/>
        <v>3.2560752635741652E-2</v>
      </c>
      <c r="BJ128" s="334">
        <f t="shared" si="617"/>
        <v>1.1524681052180519E-2</v>
      </c>
      <c r="BK128" s="334">
        <f t="shared" si="617"/>
        <v>1.9024771247307948E-2</v>
      </c>
      <c r="BL128" s="334">
        <f t="shared" si="617"/>
        <v>5.377828144679353E-2</v>
      </c>
      <c r="BM128" s="334">
        <f t="shared" si="617"/>
        <v>5.0691100008534606E-2</v>
      </c>
      <c r="BN128" s="334">
        <f t="shared" si="617"/>
        <v>3.610360088990916E-2</v>
      </c>
      <c r="BO128" s="334">
        <f t="shared" si="617"/>
        <v>3.5616732334167622E-2</v>
      </c>
      <c r="BP128" s="334">
        <f t="shared" si="617"/>
        <v>3.0946529749218188E-2</v>
      </c>
      <c r="BQ128" s="334">
        <f t="shared" si="617"/>
        <v>3.6230906564294063E-2</v>
      </c>
      <c r="BR128" s="334">
        <f t="shared" si="617"/>
        <v>5.38807163720878E-2</v>
      </c>
      <c r="BS128" s="334">
        <f t="shared" si="617"/>
        <v>4.8624313915522466E-2</v>
      </c>
      <c r="BT128" s="333">
        <f t="shared" si="617"/>
        <v>3.5432857481774382E-2</v>
      </c>
      <c r="BU128" s="333">
        <f t="shared" si="617"/>
        <v>1.9884560190805756E-2</v>
      </c>
      <c r="BV128" s="333">
        <f t="shared" si="617"/>
        <v>1.9962327039924288E-2</v>
      </c>
      <c r="BW128" s="333">
        <f t="shared" si="617"/>
        <v>2.1492913403431624E-2</v>
      </c>
      <c r="BX128" s="333">
        <f t="shared" si="617"/>
        <v>2.1256246033836135E-2</v>
      </c>
      <c r="BY128" s="333">
        <f t="shared" si="617"/>
        <v>2.3192681692906669E-2</v>
      </c>
      <c r="BZ128" s="333">
        <f t="shared" si="617"/>
        <v>2.3041742889132966E-2</v>
      </c>
      <c r="CA128" s="333">
        <f t="shared" si="617"/>
        <v>2.2691376659111029E-2</v>
      </c>
      <c r="CB128" s="333">
        <f t="shared" si="617"/>
        <v>2.1394822540654612E-2</v>
      </c>
      <c r="CC128" s="333">
        <f t="shared" si="617"/>
        <v>2.2727422124279917E-2</v>
      </c>
      <c r="CD128" s="333">
        <f t="shared" si="617"/>
        <v>2.2521250453413355E-2</v>
      </c>
      <c r="CE128" s="333">
        <f t="shared" si="617"/>
        <v>2.2406736650352199E-2</v>
      </c>
      <c r="CF128" s="333">
        <f t="shared" si="617"/>
        <v>2.1644842397609887E-2</v>
      </c>
      <c r="CG128" s="333">
        <f t="shared" si="617"/>
        <v>2.3467431119615245E-2</v>
      </c>
      <c r="CH128" s="333">
        <f t="shared" si="617"/>
        <v>2.3190242302768338E-2</v>
      </c>
      <c r="CI128" s="333">
        <f t="shared" si="617"/>
        <v>2.3231055294550051E-2</v>
      </c>
      <c r="CJ128" s="333">
        <f t="shared" ref="CJ128" si="618">+CJ127/CI127-1</f>
        <v>2.2339159150269072E-2</v>
      </c>
      <c r="CK128" s="333">
        <f t="shared" ref="CK128" si="619">+CK127/CJ127-1</f>
        <v>2.4347338668603502E-2</v>
      </c>
      <c r="CL128" s="333">
        <f t="shared" ref="CL128" si="620">+CL127/CK127-1</f>
        <v>2.3631265363958542E-2</v>
      </c>
      <c r="CM128" s="333">
        <f t="shared" ref="CM128" si="621">+CM127/CL127-1</f>
        <v>2.5209312369928627E-2</v>
      </c>
      <c r="CN128" s="333">
        <f t="shared" ref="CN128" si="622">+CN127/CM127-1</f>
        <v>2.3629325660744271E-2</v>
      </c>
      <c r="CO128" s="333">
        <f t="shared" ref="CO128" si="623">+CO127/CN127-1</f>
        <v>2.5729646195156164E-2</v>
      </c>
      <c r="CP128" s="333">
        <f t="shared" ref="CP128" si="624">+CP127/CO127-1</f>
        <v>2.5041277840773146E-2</v>
      </c>
      <c r="CQ128" s="333">
        <f t="shared" ref="CQ128" si="625">+CQ127/CP127-1</f>
        <v>2.646909129255004E-2</v>
      </c>
    </row>
    <row r="129" spans="1:95" s="325" customFormat="1" ht="11.25" customHeight="1">
      <c r="A129" s="329" t="s">
        <v>300</v>
      </c>
      <c r="B129" s="346"/>
      <c r="C129" s="346">
        <f t="shared" ref="C129:U129" si="626">+AVERAGE(B115:C115)</f>
        <v>0</v>
      </c>
      <c r="D129" s="346">
        <f t="shared" si="626"/>
        <v>0</v>
      </c>
      <c r="E129" s="346">
        <f t="shared" si="626"/>
        <v>0</v>
      </c>
      <c r="F129" s="346">
        <f t="shared" si="626"/>
        <v>0</v>
      </c>
      <c r="G129" s="346">
        <f t="shared" si="626"/>
        <v>0</v>
      </c>
      <c r="H129" s="346">
        <f t="shared" si="626"/>
        <v>0</v>
      </c>
      <c r="I129" s="346">
        <f t="shared" si="626"/>
        <v>20869.600363308447</v>
      </c>
      <c r="J129" s="346">
        <f t="shared" si="626"/>
        <v>47615.538760327923</v>
      </c>
      <c r="K129" s="346">
        <f t="shared" si="626"/>
        <v>53286.913103705716</v>
      </c>
      <c r="L129" s="346">
        <f t="shared" si="626"/>
        <v>59464.90422454699</v>
      </c>
      <c r="M129" s="346">
        <f t="shared" si="626"/>
        <v>70118.679476846854</v>
      </c>
      <c r="N129" s="346">
        <f t="shared" si="626"/>
        <v>81190.5349589861</v>
      </c>
      <c r="O129" s="346">
        <f t="shared" si="626"/>
        <v>94901.097000000009</v>
      </c>
      <c r="P129" s="345">
        <f t="shared" ca="1" si="626"/>
        <v>109260.3533290348</v>
      </c>
      <c r="Q129" s="345">
        <f t="shared" ca="1" si="626"/>
        <v>121858.9582010982</v>
      </c>
      <c r="R129" s="345">
        <f t="shared" ca="1" si="626"/>
        <v>132170.02844411824</v>
      </c>
      <c r="S129" s="345">
        <f t="shared" ca="1" si="626"/>
        <v>143147.23190245562</v>
      </c>
      <c r="T129" s="345">
        <f t="shared" ca="1" si="626"/>
        <v>155873.76265283994</v>
      </c>
      <c r="U129" s="345">
        <f t="shared" ca="1" si="626"/>
        <v>170948.85005697783</v>
      </c>
      <c r="V129" s="323"/>
      <c r="W129" s="329" t="s">
        <v>300</v>
      </c>
      <c r="X129" s="358">
        <v>0</v>
      </c>
      <c r="Y129" s="358">
        <f t="shared" ref="Y129:BD129" si="627">+AVERAGE(X115:Y115)</f>
        <v>0</v>
      </c>
      <c r="Z129" s="358">
        <f t="shared" si="627"/>
        <v>0</v>
      </c>
      <c r="AA129" s="358">
        <f t="shared" si="627"/>
        <v>0</v>
      </c>
      <c r="AB129" s="358">
        <f t="shared" si="627"/>
        <v>0</v>
      </c>
      <c r="AC129" s="358">
        <f t="shared" si="627"/>
        <v>0</v>
      </c>
      <c r="AD129" s="358">
        <f t="shared" si="627"/>
        <v>0</v>
      </c>
      <c r="AE129" s="358">
        <f t="shared" si="627"/>
        <v>0</v>
      </c>
      <c r="AF129" s="358">
        <f t="shared" si="627"/>
        <v>0</v>
      </c>
      <c r="AG129" s="358">
        <f t="shared" si="627"/>
        <v>0</v>
      </c>
      <c r="AH129" s="358">
        <f t="shared" si="627"/>
        <v>0</v>
      </c>
      <c r="AI129" s="358">
        <f t="shared" si="627"/>
        <v>0</v>
      </c>
      <c r="AJ129" s="358">
        <f t="shared" si="627"/>
        <v>0</v>
      </c>
      <c r="AK129" s="358">
        <f t="shared" si="627"/>
        <v>0</v>
      </c>
      <c r="AL129" s="358">
        <f t="shared" si="627"/>
        <v>0</v>
      </c>
      <c r="AM129" s="358">
        <f t="shared" si="627"/>
        <v>0</v>
      </c>
      <c r="AN129" s="358">
        <f t="shared" si="627"/>
        <v>0</v>
      </c>
      <c r="AO129" s="358">
        <f t="shared" si="627"/>
        <v>0</v>
      </c>
      <c r="AP129" s="358">
        <f t="shared" si="627"/>
        <v>0</v>
      </c>
      <c r="AQ129" s="358">
        <f t="shared" si="627"/>
        <v>0</v>
      </c>
      <c r="AR129" s="358">
        <f t="shared" si="627"/>
        <v>20470.791503071665</v>
      </c>
      <c r="AS129" s="358">
        <f t="shared" si="627"/>
        <v>39644.902038597065</v>
      </c>
      <c r="AT129" s="358">
        <f t="shared" si="627"/>
        <v>37779.170401780219</v>
      </c>
      <c r="AU129" s="358">
        <f t="shared" si="627"/>
        <v>39474.660229563262</v>
      </c>
      <c r="AV129" s="358">
        <f t="shared" si="627"/>
        <v>42038.370951396253</v>
      </c>
      <c r="AW129" s="358">
        <f t="shared" si="627"/>
        <v>42478.261169818375</v>
      </c>
      <c r="AX129" s="358">
        <f t="shared" si="627"/>
        <v>45604.461569318897</v>
      </c>
      <c r="AY129" s="358">
        <f t="shared" si="627"/>
        <v>51040.909384607803</v>
      </c>
      <c r="AZ129" s="358">
        <f t="shared" si="627"/>
        <v>53583.926969284134</v>
      </c>
      <c r="BA129" s="358">
        <f t="shared" si="627"/>
        <v>53023.510657538201</v>
      </c>
      <c r="BB129" s="358">
        <f t="shared" si="627"/>
        <v>52653.667016093736</v>
      </c>
      <c r="BC129" s="358">
        <f t="shared" si="627"/>
        <v>53009.119637506432</v>
      </c>
      <c r="BD129" s="358">
        <f t="shared" si="627"/>
        <v>55641.161597547332</v>
      </c>
      <c r="BE129" s="358">
        <f t="shared" ref="BE129:CI129" si="628">+AVERAGE(BD115:BE115)</f>
        <v>59442.138363675374</v>
      </c>
      <c r="BF129" s="358">
        <f t="shared" si="628"/>
        <v>61082.370909022822</v>
      </c>
      <c r="BG129" s="359">
        <f t="shared" si="628"/>
        <v>63664.34895406929</v>
      </c>
      <c r="BH129" s="358">
        <f t="shared" si="628"/>
        <v>68182.495676942155</v>
      </c>
      <c r="BI129" s="358">
        <f t="shared" si="628"/>
        <v>71845.415015086255</v>
      </c>
      <c r="BJ129" s="358">
        <f t="shared" si="628"/>
        <v>72967.687448768615</v>
      </c>
      <c r="BK129" s="358">
        <f t="shared" si="628"/>
        <v>73575.588551749883</v>
      </c>
      <c r="BL129" s="358">
        <f t="shared" si="628"/>
        <v>77721.016458986094</v>
      </c>
      <c r="BM129" s="358">
        <f t="shared" si="628"/>
        <v>81858.679499999998</v>
      </c>
      <c r="BN129" s="358">
        <f t="shared" si="628"/>
        <v>84928.96650000001</v>
      </c>
      <c r="BO129" s="358">
        <f t="shared" si="628"/>
        <v>87592.338500000013</v>
      </c>
      <c r="BP129" s="358">
        <f t="shared" si="628"/>
        <v>89629.308000000005</v>
      </c>
      <c r="BQ129" s="358">
        <f t="shared" si="628"/>
        <v>91708.436500000011</v>
      </c>
      <c r="BR129" s="358">
        <f t="shared" si="628"/>
        <v>96577.192500000005</v>
      </c>
      <c r="BS129" s="358">
        <f t="shared" si="628"/>
        <v>101407.591</v>
      </c>
      <c r="BT129" s="357">
        <f t="shared" ca="1" si="628"/>
        <v>108493.03147745231</v>
      </c>
      <c r="BU129" s="357">
        <f t="shared" ca="1" si="628"/>
        <v>113962.78273654965</v>
      </c>
      <c r="BV129" s="357">
        <f t="shared" ca="1" si="628"/>
        <v>115611.29654602412</v>
      </c>
      <c r="BW129" s="357">
        <f t="shared" ca="1" si="628"/>
        <v>117591.27461596159</v>
      </c>
      <c r="BX129" s="357">
        <f t="shared" ca="1" si="628"/>
        <v>120051.02097581342</v>
      </c>
      <c r="BY129" s="357">
        <f t="shared" ca="1" si="628"/>
        <v>122883.28091002665</v>
      </c>
      <c r="BZ129" s="357">
        <f t="shared" ca="1" si="628"/>
        <v>125278.57281717091</v>
      </c>
      <c r="CA129" s="357">
        <f t="shared" ca="1" si="628"/>
        <v>127595.18842598627</v>
      </c>
      <c r="CB129" s="357">
        <f t="shared" ca="1" si="628"/>
        <v>130181.47247293878</v>
      </c>
      <c r="CC129" s="357">
        <f t="shared" ca="1" si="628"/>
        <v>133054.6458380293</v>
      </c>
      <c r="CD129" s="357">
        <f t="shared" ca="1" si="628"/>
        <v>135393.38733006641</v>
      </c>
      <c r="CE129" s="357">
        <f t="shared" ca="1" si="628"/>
        <v>137682.40866496734</v>
      </c>
      <c r="CF129" s="357">
        <f t="shared" ca="1" si="628"/>
        <v>140457.55597270047</v>
      </c>
      <c r="CG129" s="357">
        <f t="shared" ca="1" si="628"/>
        <v>143670.25927730789</v>
      </c>
      <c r="CH129" s="357">
        <f t="shared" ca="1" si="628"/>
        <v>146253.84512632887</v>
      </c>
      <c r="CI129" s="357">
        <f t="shared" ca="1" si="628"/>
        <v>148856.15058006736</v>
      </c>
      <c r="CJ129" s="357">
        <f t="shared" ref="CJ129" ca="1" si="629">+AVERAGE(CI115:CJ115)</f>
        <v>152013.34759813373</v>
      </c>
      <c r="CK129" s="357">
        <f t="shared" ref="CK129" ca="1" si="630">+AVERAGE(CJ115:CK115)</f>
        <v>155686.80590348298</v>
      </c>
      <c r="CL129" s="357">
        <f t="shared" ref="CL129" ca="1" si="631">+AVERAGE(CK115:CL115)</f>
        <v>158545.21016971266</v>
      </c>
      <c r="CM129" s="357">
        <f t="shared" ref="CM129" ca="1" si="632">+AVERAGE(CL115:CM115)</f>
        <v>161783.27385640188</v>
      </c>
      <c r="CN129" s="357">
        <f t="shared" ref="CN129" ca="1" si="633">+AVERAGE(CM115:CN115)</f>
        <v>165528.78095231793</v>
      </c>
      <c r="CO129" s="357">
        <f t="shared" ref="CO129" ca="1" si="634">+AVERAGE(CN115:CO115)</f>
        <v>169880.0722578454</v>
      </c>
      <c r="CP129" s="357">
        <f t="shared" ref="CP129" ca="1" si="635">+AVERAGE(CO115:CP115)</f>
        <v>173305.07684998628</v>
      </c>
      <c r="CQ129" s="357">
        <f t="shared" ref="CQ129" ca="1" si="636">+AVERAGE(CP115:CQ115)</f>
        <v>177117.35095655825</v>
      </c>
    </row>
    <row r="130" spans="1:95" s="325" customFormat="1" ht="11.25" customHeight="1">
      <c r="A130" s="336" t="s">
        <v>295</v>
      </c>
      <c r="B130" s="334"/>
      <c r="C130" s="334"/>
      <c r="D130" s="334" t="e">
        <f t="shared" ref="D130:U130" si="637">+D129/C129-1</f>
        <v>#DIV/0!</v>
      </c>
      <c r="E130" s="334" t="e">
        <f t="shared" si="637"/>
        <v>#DIV/0!</v>
      </c>
      <c r="F130" s="334" t="e">
        <f t="shared" si="637"/>
        <v>#DIV/0!</v>
      </c>
      <c r="G130" s="334" t="e">
        <f t="shared" si="637"/>
        <v>#DIV/0!</v>
      </c>
      <c r="H130" s="334" t="e">
        <f t="shared" si="637"/>
        <v>#DIV/0!</v>
      </c>
      <c r="I130" s="334" t="e">
        <f t="shared" si="637"/>
        <v>#DIV/0!</v>
      </c>
      <c r="J130" s="334">
        <f t="shared" si="637"/>
        <v>1.2815740565901019</v>
      </c>
      <c r="K130" s="334">
        <f t="shared" si="637"/>
        <v>0.11910763778027511</v>
      </c>
      <c r="L130" s="334">
        <f t="shared" si="637"/>
        <v>0.11593824376386408</v>
      </c>
      <c r="M130" s="334">
        <f t="shared" si="637"/>
        <v>0.17916072330781629</v>
      </c>
      <c r="N130" s="334">
        <f t="shared" si="637"/>
        <v>0.1579016542345919</v>
      </c>
      <c r="O130" s="334">
        <f t="shared" si="637"/>
        <v>0.16886897035399362</v>
      </c>
      <c r="P130" s="333">
        <f t="shared" ca="1" si="637"/>
        <v>0.15130759056488863</v>
      </c>
      <c r="Q130" s="333">
        <f t="shared" ca="1" si="637"/>
        <v>0.11530811029068366</v>
      </c>
      <c r="R130" s="333">
        <f t="shared" ca="1" si="637"/>
        <v>8.4614790699294895E-2</v>
      </c>
      <c r="S130" s="333">
        <f t="shared" ca="1" si="637"/>
        <v>8.3053651327453348E-2</v>
      </c>
      <c r="T130" s="333">
        <f t="shared" ca="1" si="637"/>
        <v>8.8905182316459497E-2</v>
      </c>
      <c r="U130" s="333">
        <f t="shared" ca="1" si="637"/>
        <v>9.671343751233441E-2</v>
      </c>
      <c r="V130" s="323"/>
      <c r="W130" s="336" t="s">
        <v>295</v>
      </c>
      <c r="X130" s="334">
        <v>0</v>
      </c>
      <c r="Y130" s="334">
        <v>0</v>
      </c>
      <c r="Z130" s="334" t="e">
        <f t="shared" ref="Z130:BE130" si="638">+Z129/Y129-1</f>
        <v>#DIV/0!</v>
      </c>
      <c r="AA130" s="334" t="e">
        <f t="shared" si="638"/>
        <v>#DIV/0!</v>
      </c>
      <c r="AB130" s="334" t="e">
        <f t="shared" si="638"/>
        <v>#DIV/0!</v>
      </c>
      <c r="AC130" s="334" t="e">
        <f t="shared" si="638"/>
        <v>#DIV/0!</v>
      </c>
      <c r="AD130" s="334" t="e">
        <f t="shared" si="638"/>
        <v>#DIV/0!</v>
      </c>
      <c r="AE130" s="334" t="e">
        <f t="shared" si="638"/>
        <v>#DIV/0!</v>
      </c>
      <c r="AF130" s="334" t="e">
        <f t="shared" si="638"/>
        <v>#DIV/0!</v>
      </c>
      <c r="AG130" s="334" t="e">
        <f t="shared" si="638"/>
        <v>#DIV/0!</v>
      </c>
      <c r="AH130" s="334" t="e">
        <f t="shared" si="638"/>
        <v>#DIV/0!</v>
      </c>
      <c r="AI130" s="334" t="e">
        <f t="shared" si="638"/>
        <v>#DIV/0!</v>
      </c>
      <c r="AJ130" s="334" t="e">
        <f t="shared" si="638"/>
        <v>#DIV/0!</v>
      </c>
      <c r="AK130" s="334" t="e">
        <f t="shared" si="638"/>
        <v>#DIV/0!</v>
      </c>
      <c r="AL130" s="334" t="e">
        <f t="shared" si="638"/>
        <v>#DIV/0!</v>
      </c>
      <c r="AM130" s="334" t="e">
        <f t="shared" si="638"/>
        <v>#DIV/0!</v>
      </c>
      <c r="AN130" s="334" t="e">
        <f t="shared" si="638"/>
        <v>#DIV/0!</v>
      </c>
      <c r="AO130" s="334" t="e">
        <f t="shared" si="638"/>
        <v>#DIV/0!</v>
      </c>
      <c r="AP130" s="334" t="e">
        <f t="shared" si="638"/>
        <v>#DIV/0!</v>
      </c>
      <c r="AQ130" s="334" t="e">
        <f t="shared" si="638"/>
        <v>#DIV/0!</v>
      </c>
      <c r="AR130" s="334" t="e">
        <f t="shared" si="638"/>
        <v>#DIV/0!</v>
      </c>
      <c r="AS130" s="334">
        <f t="shared" si="638"/>
        <v>0.93665701849624639</v>
      </c>
      <c r="AT130" s="334">
        <f t="shared" si="638"/>
        <v>-4.7061073199283654E-2</v>
      </c>
      <c r="AU130" s="334">
        <f t="shared" si="638"/>
        <v>4.4878958689446247E-2</v>
      </c>
      <c r="AV130" s="334">
        <f t="shared" si="638"/>
        <v>6.4945732450230942E-2</v>
      </c>
      <c r="AW130" s="334">
        <f t="shared" si="638"/>
        <v>1.0464016765319384E-2</v>
      </c>
      <c r="AX130" s="334">
        <f t="shared" si="638"/>
        <v>7.3595300593936486E-2</v>
      </c>
      <c r="AY130" s="334">
        <f t="shared" si="638"/>
        <v>0.1192086832781809</v>
      </c>
      <c r="AZ130" s="334">
        <f t="shared" si="638"/>
        <v>4.9823124535536056E-2</v>
      </c>
      <c r="BA130" s="334">
        <f t="shared" si="638"/>
        <v>-1.0458664443671273E-2</v>
      </c>
      <c r="BB130" s="334">
        <f t="shared" si="638"/>
        <v>-6.9750877838543612E-3</v>
      </c>
      <c r="BC130" s="334">
        <f t="shared" si="638"/>
        <v>6.750766690267751E-3</v>
      </c>
      <c r="BD130" s="334">
        <f t="shared" si="638"/>
        <v>4.9652625398038275E-2</v>
      </c>
      <c r="BE130" s="334">
        <f t="shared" si="638"/>
        <v>6.8312318740225475E-2</v>
      </c>
      <c r="BF130" s="334">
        <f t="shared" ref="BF130:CI130" si="639">+BF129/BE129-1</f>
        <v>2.7593767493899302E-2</v>
      </c>
      <c r="BG130" s="335">
        <f t="shared" si="639"/>
        <v>4.2270429366471518E-2</v>
      </c>
      <c r="BH130" s="334">
        <f t="shared" si="639"/>
        <v>7.0968238851111032E-2</v>
      </c>
      <c r="BI130" s="334">
        <f t="shared" si="639"/>
        <v>5.3722283142868532E-2</v>
      </c>
      <c r="BJ130" s="334">
        <f t="shared" si="639"/>
        <v>1.5620654894215713E-2</v>
      </c>
      <c r="BK130" s="334">
        <f t="shared" si="639"/>
        <v>8.3311000284622683E-3</v>
      </c>
      <c r="BL130" s="334">
        <f t="shared" si="639"/>
        <v>5.6342436245963468E-2</v>
      </c>
      <c r="BM130" s="334">
        <f t="shared" si="639"/>
        <v>5.3237376832267369E-2</v>
      </c>
      <c r="BN130" s="334">
        <f t="shared" si="639"/>
        <v>3.7507165016020139E-2</v>
      </c>
      <c r="BO130" s="334">
        <f t="shared" si="639"/>
        <v>3.1359995414520947E-2</v>
      </c>
      <c r="BP130" s="334">
        <f t="shared" si="639"/>
        <v>2.3255110377033539E-2</v>
      </c>
      <c r="BQ130" s="334">
        <f t="shared" si="639"/>
        <v>2.3196971463843141E-2</v>
      </c>
      <c r="BR130" s="334">
        <f t="shared" si="639"/>
        <v>5.30895104726814E-2</v>
      </c>
      <c r="BS130" s="334">
        <f t="shared" si="639"/>
        <v>5.0015934145114072E-2</v>
      </c>
      <c r="BT130" s="333">
        <f t="shared" ca="1" si="639"/>
        <v>6.9870908159649581E-2</v>
      </c>
      <c r="BU130" s="333">
        <f t="shared" ca="1" si="639"/>
        <v>5.0415691999850631E-2</v>
      </c>
      <c r="BV130" s="333">
        <f t="shared" ca="1" si="639"/>
        <v>1.4465369920681814E-2</v>
      </c>
      <c r="BW130" s="333">
        <f t="shared" ca="1" si="639"/>
        <v>1.7126164389560827E-2</v>
      </c>
      <c r="BX130" s="333">
        <f t="shared" ca="1" si="639"/>
        <v>2.0917762545605845E-2</v>
      </c>
      <c r="BY130" s="333">
        <f t="shared" ca="1" si="639"/>
        <v>2.359213533705673E-2</v>
      </c>
      <c r="BZ130" s="333">
        <f t="shared" ca="1" si="639"/>
        <v>1.9492414992549278E-2</v>
      </c>
      <c r="CA130" s="333">
        <f t="shared" ca="1" si="639"/>
        <v>1.8491714558372063E-2</v>
      </c>
      <c r="CB130" s="333">
        <f t="shared" ca="1" si="639"/>
        <v>2.0269448079170527E-2</v>
      </c>
      <c r="CC130" s="333">
        <f t="shared" ca="1" si="639"/>
        <v>2.2070524403446035E-2</v>
      </c>
      <c r="CD130" s="333">
        <f t="shared" ca="1" si="639"/>
        <v>1.7577300494145298E-2</v>
      </c>
      <c r="CE130" s="333">
        <f t="shared" ca="1" si="639"/>
        <v>1.6906448535190854E-2</v>
      </c>
      <c r="CF130" s="333">
        <f t="shared" ca="1" si="639"/>
        <v>2.0156150191170008E-2</v>
      </c>
      <c r="CG130" s="333">
        <f t="shared" ca="1" si="639"/>
        <v>2.2873125495874724E-2</v>
      </c>
      <c r="CH130" s="333">
        <f t="shared" ca="1" si="639"/>
        <v>1.7982746478059974E-2</v>
      </c>
      <c r="CI130" s="333">
        <f t="shared" ca="1" si="639"/>
        <v>1.7793073758099798E-2</v>
      </c>
      <c r="CJ130" s="333">
        <f t="shared" ref="CJ130" ca="1" si="640">+CJ129/CI129-1</f>
        <v>2.1209718280120082E-2</v>
      </c>
      <c r="CK130" s="333">
        <f t="shared" ref="CK130" ca="1" si="641">+CK129/CJ129-1</f>
        <v>2.4165366814107081E-2</v>
      </c>
      <c r="CL130" s="333">
        <f t="shared" ref="CL130" ca="1" si="642">+CL129/CK129-1</f>
        <v>1.8359964735879641E-2</v>
      </c>
      <c r="CM130" s="333">
        <f t="shared" ref="CM130" ca="1" si="643">+CM129/CL129-1</f>
        <v>2.0423598311315017E-2</v>
      </c>
      <c r="CN130" s="333">
        <f t="shared" ref="CN130" ca="1" si="644">+CN129/CM129-1</f>
        <v>2.3151386460633416E-2</v>
      </c>
      <c r="CO130" s="333">
        <f t="shared" ref="CO130" ca="1" si="645">+CO129/CN129-1</f>
        <v>2.6287218938565671E-2</v>
      </c>
      <c r="CP130" s="333">
        <f t="shared" ref="CP130" ca="1" si="646">+CP129/CO129-1</f>
        <v>2.0161308778715137E-2</v>
      </c>
      <c r="CQ130" s="333">
        <f t="shared" ref="CQ130" ca="1" si="647">+CQ129/CP129-1</f>
        <v>2.1997475064575944E-2</v>
      </c>
    </row>
    <row r="131" spans="1:95" s="325" customFormat="1" ht="11.25" customHeight="1">
      <c r="A131" s="329" t="s">
        <v>299</v>
      </c>
      <c r="B131" s="363"/>
      <c r="C131" s="363">
        <f t="shared" ref="C131:U131" si="648">+AVERAGE(B97:C97)</f>
        <v>0</v>
      </c>
      <c r="D131" s="363">
        <f t="shared" si="648"/>
        <v>0</v>
      </c>
      <c r="E131" s="363">
        <f t="shared" si="648"/>
        <v>0</v>
      </c>
      <c r="F131" s="363">
        <f t="shared" si="648"/>
        <v>0</v>
      </c>
      <c r="G131" s="363">
        <f t="shared" si="648"/>
        <v>0</v>
      </c>
      <c r="H131" s="363">
        <f t="shared" si="648"/>
        <v>0</v>
      </c>
      <c r="I131" s="363">
        <f t="shared" si="648"/>
        <v>32001.494933748865</v>
      </c>
      <c r="J131" s="363">
        <f t="shared" si="648"/>
        <v>71961.590560794386</v>
      </c>
      <c r="K131" s="363">
        <f t="shared" si="648"/>
        <v>81635.140767164412</v>
      </c>
      <c r="L131" s="363">
        <f t="shared" si="648"/>
        <v>94137.001112397411</v>
      </c>
      <c r="M131" s="363">
        <f t="shared" si="648"/>
        <v>109733.68882368208</v>
      </c>
      <c r="N131" s="363">
        <f t="shared" si="648"/>
        <v>124997.43885140355</v>
      </c>
      <c r="O131" s="363">
        <f t="shared" si="648"/>
        <v>145576.56550000003</v>
      </c>
      <c r="P131" s="362">
        <f t="shared" si="648"/>
        <v>164190.23868694948</v>
      </c>
      <c r="Q131" s="362">
        <f t="shared" si="648"/>
        <v>180790.85271885508</v>
      </c>
      <c r="R131" s="362">
        <f t="shared" si="648"/>
        <v>197448.45004222303</v>
      </c>
      <c r="S131" s="362">
        <f t="shared" si="648"/>
        <v>215589.18998424604</v>
      </c>
      <c r="T131" s="362">
        <f t="shared" si="648"/>
        <v>236372.63006272315</v>
      </c>
      <c r="U131" s="362">
        <f t="shared" si="648"/>
        <v>260569.6282708511</v>
      </c>
      <c r="V131" s="323"/>
      <c r="W131" s="329" t="s">
        <v>299</v>
      </c>
      <c r="X131" s="358">
        <v>0</v>
      </c>
      <c r="Y131" s="358">
        <f t="shared" ref="Y131:BD131" si="649">+AVERAGE(X97:Y97)</f>
        <v>0</v>
      </c>
      <c r="Z131" s="358">
        <f t="shared" si="649"/>
        <v>0</v>
      </c>
      <c r="AA131" s="358">
        <f t="shared" si="649"/>
        <v>0</v>
      </c>
      <c r="AB131" s="358">
        <f t="shared" si="649"/>
        <v>0</v>
      </c>
      <c r="AC131" s="358">
        <f t="shared" si="649"/>
        <v>0</v>
      </c>
      <c r="AD131" s="358">
        <f t="shared" si="649"/>
        <v>0</v>
      </c>
      <c r="AE131" s="358">
        <f t="shared" si="649"/>
        <v>0</v>
      </c>
      <c r="AF131" s="358">
        <f t="shared" si="649"/>
        <v>0</v>
      </c>
      <c r="AG131" s="358">
        <f t="shared" si="649"/>
        <v>0</v>
      </c>
      <c r="AH131" s="358">
        <f t="shared" si="649"/>
        <v>0</v>
      </c>
      <c r="AI131" s="358">
        <f t="shared" si="649"/>
        <v>0</v>
      </c>
      <c r="AJ131" s="358">
        <f t="shared" si="649"/>
        <v>0</v>
      </c>
      <c r="AK131" s="358">
        <f t="shared" si="649"/>
        <v>0</v>
      </c>
      <c r="AL131" s="358">
        <f t="shared" si="649"/>
        <v>0</v>
      </c>
      <c r="AM131" s="358">
        <f t="shared" si="649"/>
        <v>0</v>
      </c>
      <c r="AN131" s="358">
        <f t="shared" si="649"/>
        <v>0</v>
      </c>
      <c r="AO131" s="358">
        <f t="shared" si="649"/>
        <v>0</v>
      </c>
      <c r="AP131" s="358">
        <f t="shared" si="649"/>
        <v>0</v>
      </c>
      <c r="AQ131" s="358">
        <f t="shared" si="649"/>
        <v>0</v>
      </c>
      <c r="AR131" s="358">
        <f t="shared" si="649"/>
        <v>33304.390849977521</v>
      </c>
      <c r="AS131" s="358">
        <f t="shared" si="649"/>
        <v>64757.160696168226</v>
      </c>
      <c r="AT131" s="358">
        <f t="shared" si="649"/>
        <v>61406.655067172236</v>
      </c>
      <c r="AU131" s="358">
        <f t="shared" si="649"/>
        <v>61955.380154730403</v>
      </c>
      <c r="AV131" s="358">
        <f t="shared" si="649"/>
        <v>65356.925755850105</v>
      </c>
      <c r="AW131" s="358">
        <f t="shared" si="649"/>
        <v>67026.533022162956</v>
      </c>
      <c r="AX131" s="358">
        <f t="shared" si="649"/>
        <v>70738.303137738665</v>
      </c>
      <c r="AY131" s="358">
        <f t="shared" si="649"/>
        <v>77027.296564722463</v>
      </c>
      <c r="AZ131" s="358">
        <f t="shared" si="649"/>
        <v>81088.574463754194</v>
      </c>
      <c r="BA131" s="358">
        <f t="shared" si="649"/>
        <v>81893.786194185202</v>
      </c>
      <c r="BB131" s="358">
        <f t="shared" si="649"/>
        <v>81883.652972679527</v>
      </c>
      <c r="BC131" s="358">
        <f t="shared" si="649"/>
        <v>82793.390755321903</v>
      </c>
      <c r="BD131" s="358">
        <f t="shared" si="649"/>
        <v>87228.770014395996</v>
      </c>
      <c r="BE131" s="358">
        <f t="shared" ref="BE131:CI131" si="650">+AVERAGE(BD97:BE97)</f>
        <v>92400.782634066869</v>
      </c>
      <c r="BF131" s="358">
        <f t="shared" si="650"/>
        <v>95820.355333412706</v>
      </c>
      <c r="BG131" s="359">
        <f t="shared" si="650"/>
        <v>101435.25354590148</v>
      </c>
      <c r="BH131" s="358">
        <f t="shared" si="650"/>
        <v>107496.90147472275</v>
      </c>
      <c r="BI131" s="358">
        <f t="shared" si="650"/>
        <v>110465.16331944815</v>
      </c>
      <c r="BJ131" s="358">
        <f t="shared" si="650"/>
        <v>111339.46622561863</v>
      </c>
      <c r="BK131" s="358">
        <f t="shared" si="650"/>
        <v>113180.98126001823</v>
      </c>
      <c r="BL131" s="358">
        <f t="shared" si="650"/>
        <v>119278.32085140355</v>
      </c>
      <c r="BM131" s="358">
        <f t="shared" si="650"/>
        <v>125577.29700000001</v>
      </c>
      <c r="BN131" s="358">
        <f t="shared" si="650"/>
        <v>129897.7245</v>
      </c>
      <c r="BO131" s="358">
        <f t="shared" si="650"/>
        <v>134052.72149999999</v>
      </c>
      <c r="BP131" s="358">
        <f t="shared" si="650"/>
        <v>138157.652</v>
      </c>
      <c r="BQ131" s="358">
        <f t="shared" si="650"/>
        <v>142051.65299999999</v>
      </c>
      <c r="BR131" s="358">
        <f t="shared" si="650"/>
        <v>148021.04699999999</v>
      </c>
      <c r="BS131" s="358">
        <f t="shared" si="650"/>
        <v>154252.19949999999</v>
      </c>
      <c r="BT131" s="357">
        <f t="shared" si="650"/>
        <v>161047.88747335935</v>
      </c>
      <c r="BU131" s="357">
        <f t="shared" si="650"/>
        <v>165946.42069222452</v>
      </c>
      <c r="BV131" s="357">
        <f t="shared" si="650"/>
        <v>169174.90675620965</v>
      </c>
      <c r="BW131" s="357">
        <f t="shared" si="650"/>
        <v>172764.89322429395</v>
      </c>
      <c r="BX131" s="357">
        <f t="shared" si="650"/>
        <v>176398.88549482188</v>
      </c>
      <c r="BY131" s="357">
        <f t="shared" si="650"/>
        <v>180434.32503736691</v>
      </c>
      <c r="BZ131" s="357">
        <f t="shared" si="650"/>
        <v>184515.02524936775</v>
      </c>
      <c r="CA131" s="357">
        <f t="shared" si="650"/>
        <v>188591.68005177885</v>
      </c>
      <c r="CB131" s="357">
        <f t="shared" si="650"/>
        <v>192478.77518150862</v>
      </c>
      <c r="CC131" s="357">
        <f t="shared" si="650"/>
        <v>196695.3764301044</v>
      </c>
      <c r="CD131" s="357">
        <f t="shared" si="650"/>
        <v>200971.22829950001</v>
      </c>
      <c r="CE131" s="357">
        <f t="shared" si="650"/>
        <v>205300.13002931612</v>
      </c>
      <c r="CF131" s="357">
        <f t="shared" si="650"/>
        <v>209565.56988968415</v>
      </c>
      <c r="CG131" s="357">
        <f t="shared" si="650"/>
        <v>214286.86266250291</v>
      </c>
      <c r="CH131" s="357">
        <f t="shared" si="650"/>
        <v>219048.6923917972</v>
      </c>
      <c r="CI131" s="357">
        <f t="shared" si="650"/>
        <v>223922.63658258959</v>
      </c>
      <c r="CJ131" s="357">
        <f t="shared" ref="CJ131" si="651">+AVERAGE(CI97:CJ97)</f>
        <v>228717.52266301611</v>
      </c>
      <c r="CK131" s="357">
        <f t="shared" ref="CK131" si="652">+AVERAGE(CJ97:CK97)</f>
        <v>234076.32827219513</v>
      </c>
      <c r="CL131" s="357">
        <f t="shared" ref="CL131" si="653">+AVERAGE(CK97:CL97)</f>
        <v>239411.17806622345</v>
      </c>
      <c r="CM131" s="357">
        <f t="shared" ref="CM131" si="654">+AVERAGE(CL97:CM97)</f>
        <v>245240.57557191036</v>
      </c>
      <c r="CN131" s="357">
        <f t="shared" ref="CN131" si="655">+AVERAGE(CM97:CN97)</f>
        <v>250839.47890197422</v>
      </c>
      <c r="CO131" s="357">
        <f t="shared" ref="CO131" si="656">+AVERAGE(CN97:CO97)</f>
        <v>257094.6570884161</v>
      </c>
      <c r="CP131" s="357">
        <f t="shared" ref="CP131" si="657">+AVERAGE(CO97:CP97)</f>
        <v>263333.27832681127</v>
      </c>
      <c r="CQ131" s="357">
        <f t="shared" ref="CQ131" si="658">+AVERAGE(CP97:CQ97)</f>
        <v>270086.89523363137</v>
      </c>
    </row>
    <row r="132" spans="1:95" s="325" customFormat="1" ht="11.25" customHeight="1">
      <c r="A132" s="336" t="s">
        <v>295</v>
      </c>
      <c r="B132" s="334"/>
      <c r="C132" s="334"/>
      <c r="D132" s="334" t="e">
        <f t="shared" ref="D132:U132" si="659">+D131/C131-1</f>
        <v>#DIV/0!</v>
      </c>
      <c r="E132" s="334" t="e">
        <f t="shared" si="659"/>
        <v>#DIV/0!</v>
      </c>
      <c r="F132" s="334" t="e">
        <f t="shared" si="659"/>
        <v>#DIV/0!</v>
      </c>
      <c r="G132" s="334" t="e">
        <f t="shared" si="659"/>
        <v>#DIV/0!</v>
      </c>
      <c r="H132" s="334" t="e">
        <f t="shared" si="659"/>
        <v>#DIV/0!</v>
      </c>
      <c r="I132" s="334" t="e">
        <f t="shared" si="659"/>
        <v>#DIV/0!</v>
      </c>
      <c r="J132" s="334">
        <f t="shared" si="659"/>
        <v>1.2486946534770627</v>
      </c>
      <c r="K132" s="334">
        <f t="shared" si="659"/>
        <v>0.1344265757744425</v>
      </c>
      <c r="L132" s="334">
        <f t="shared" si="659"/>
        <v>0.15314312228468085</v>
      </c>
      <c r="M132" s="334">
        <f t="shared" si="659"/>
        <v>0.16568073687266271</v>
      </c>
      <c r="N132" s="334">
        <f t="shared" si="659"/>
        <v>0.13909812192905457</v>
      </c>
      <c r="O132" s="334">
        <f t="shared" si="659"/>
        <v>0.16463638645477263</v>
      </c>
      <c r="P132" s="333">
        <f t="shared" si="659"/>
        <v>0.12786174150364493</v>
      </c>
      <c r="Q132" s="333">
        <f t="shared" si="659"/>
        <v>0.10110597417156364</v>
      </c>
      <c r="R132" s="333">
        <f t="shared" si="659"/>
        <v>9.2137390099442218E-2</v>
      </c>
      <c r="S132" s="333">
        <f t="shared" si="659"/>
        <v>9.187582854230425E-2</v>
      </c>
      <c r="T132" s="333">
        <f t="shared" si="659"/>
        <v>9.6402978646544568E-2</v>
      </c>
      <c r="U132" s="333">
        <f t="shared" si="659"/>
        <v>0.1023680203655859</v>
      </c>
      <c r="V132" s="323"/>
      <c r="W132" s="336" t="s">
        <v>295</v>
      </c>
      <c r="X132" s="334">
        <v>0</v>
      </c>
      <c r="Y132" s="334">
        <v>0</v>
      </c>
      <c r="Z132" s="334" t="e">
        <f t="shared" ref="Z132:BE132" si="660">+Z131/Y131-1</f>
        <v>#DIV/0!</v>
      </c>
      <c r="AA132" s="334" t="e">
        <f t="shared" si="660"/>
        <v>#DIV/0!</v>
      </c>
      <c r="AB132" s="334" t="e">
        <f t="shared" si="660"/>
        <v>#DIV/0!</v>
      </c>
      <c r="AC132" s="334" t="e">
        <f t="shared" si="660"/>
        <v>#DIV/0!</v>
      </c>
      <c r="AD132" s="334" t="e">
        <f t="shared" si="660"/>
        <v>#DIV/0!</v>
      </c>
      <c r="AE132" s="334" t="e">
        <f t="shared" si="660"/>
        <v>#DIV/0!</v>
      </c>
      <c r="AF132" s="334" t="e">
        <f t="shared" si="660"/>
        <v>#DIV/0!</v>
      </c>
      <c r="AG132" s="334" t="e">
        <f t="shared" si="660"/>
        <v>#DIV/0!</v>
      </c>
      <c r="AH132" s="334" t="e">
        <f t="shared" si="660"/>
        <v>#DIV/0!</v>
      </c>
      <c r="AI132" s="334" t="e">
        <f t="shared" si="660"/>
        <v>#DIV/0!</v>
      </c>
      <c r="AJ132" s="334" t="e">
        <f t="shared" si="660"/>
        <v>#DIV/0!</v>
      </c>
      <c r="AK132" s="334" t="e">
        <f t="shared" si="660"/>
        <v>#DIV/0!</v>
      </c>
      <c r="AL132" s="334" t="e">
        <f t="shared" si="660"/>
        <v>#DIV/0!</v>
      </c>
      <c r="AM132" s="334" t="e">
        <f t="shared" si="660"/>
        <v>#DIV/0!</v>
      </c>
      <c r="AN132" s="334" t="e">
        <f t="shared" si="660"/>
        <v>#DIV/0!</v>
      </c>
      <c r="AO132" s="334" t="e">
        <f t="shared" si="660"/>
        <v>#DIV/0!</v>
      </c>
      <c r="AP132" s="334" t="e">
        <f t="shared" si="660"/>
        <v>#DIV/0!</v>
      </c>
      <c r="AQ132" s="334" t="e">
        <f t="shared" si="660"/>
        <v>#DIV/0!</v>
      </c>
      <c r="AR132" s="334" t="e">
        <f t="shared" si="660"/>
        <v>#DIV/0!</v>
      </c>
      <c r="AS132" s="334">
        <f t="shared" si="660"/>
        <v>0.9444030965127812</v>
      </c>
      <c r="AT132" s="334">
        <f t="shared" si="660"/>
        <v>-5.1739538808937335E-2</v>
      </c>
      <c r="AU132" s="334">
        <f t="shared" si="660"/>
        <v>8.935922123716411E-3</v>
      </c>
      <c r="AV132" s="334">
        <f t="shared" si="660"/>
        <v>5.4903151148851137E-2</v>
      </c>
      <c r="AW132" s="334">
        <f t="shared" si="660"/>
        <v>2.5545988386141305E-2</v>
      </c>
      <c r="AX132" s="334">
        <f t="shared" si="660"/>
        <v>5.5377623580028734E-2</v>
      </c>
      <c r="AY132" s="334">
        <f t="shared" si="660"/>
        <v>8.8905064837901726E-2</v>
      </c>
      <c r="AZ132" s="334">
        <f t="shared" si="660"/>
        <v>5.2725177698781378E-2</v>
      </c>
      <c r="BA132" s="334">
        <f t="shared" si="660"/>
        <v>9.9300269582482947E-3</v>
      </c>
      <c r="BB132" s="334">
        <f t="shared" si="660"/>
        <v>-1.2373614625227347E-4</v>
      </c>
      <c r="BC132" s="334">
        <f t="shared" si="660"/>
        <v>1.1110126986468405E-2</v>
      </c>
      <c r="BD132" s="334">
        <f t="shared" si="660"/>
        <v>5.3571658541947009E-2</v>
      </c>
      <c r="BE132" s="334">
        <f t="shared" si="660"/>
        <v>5.9292508868545202E-2</v>
      </c>
      <c r="BF132" s="334">
        <f t="shared" ref="BF132:CI132" si="661">+BF131/BE131-1</f>
        <v>3.7008049086427297E-2</v>
      </c>
      <c r="BG132" s="335">
        <f t="shared" si="661"/>
        <v>5.8598177735319279E-2</v>
      </c>
      <c r="BH132" s="334">
        <f t="shared" si="661"/>
        <v>5.9758789147978497E-2</v>
      </c>
      <c r="BI132" s="334">
        <f t="shared" si="661"/>
        <v>2.7612533980092113E-2</v>
      </c>
      <c r="BJ132" s="334">
        <f t="shared" si="661"/>
        <v>7.9147387275582126E-3</v>
      </c>
      <c r="BK132" s="334">
        <f t="shared" si="661"/>
        <v>1.6539643100748735E-2</v>
      </c>
      <c r="BL132" s="334">
        <f t="shared" si="661"/>
        <v>5.387247507050219E-2</v>
      </c>
      <c r="BM132" s="334">
        <f t="shared" si="661"/>
        <v>5.2809061224492693E-2</v>
      </c>
      <c r="BN132" s="334">
        <f t="shared" si="661"/>
        <v>3.4404526958403903E-2</v>
      </c>
      <c r="BO132" s="334">
        <f t="shared" si="661"/>
        <v>3.198668041332775E-2</v>
      </c>
      <c r="BP132" s="334">
        <f t="shared" si="661"/>
        <v>3.0621761752147814E-2</v>
      </c>
      <c r="BQ132" s="334">
        <f t="shared" si="661"/>
        <v>2.8185199615291534E-2</v>
      </c>
      <c r="BR132" s="334">
        <f t="shared" si="661"/>
        <v>4.2022700010396985E-2</v>
      </c>
      <c r="BS132" s="334">
        <f t="shared" si="661"/>
        <v>4.2096395251142837E-2</v>
      </c>
      <c r="BT132" s="333">
        <f t="shared" si="661"/>
        <v>4.4055695772165393E-2</v>
      </c>
      <c r="BU132" s="333">
        <f t="shared" si="661"/>
        <v>3.041662511515697E-2</v>
      </c>
      <c r="BV132" s="333">
        <f t="shared" si="661"/>
        <v>1.9454990656128102E-2</v>
      </c>
      <c r="BW132" s="333">
        <f t="shared" si="661"/>
        <v>2.1220561234046809E-2</v>
      </c>
      <c r="BX132" s="333">
        <f t="shared" si="661"/>
        <v>2.1034321283144308E-2</v>
      </c>
      <c r="BY132" s="333">
        <f t="shared" si="661"/>
        <v>2.2876785934475174E-2</v>
      </c>
      <c r="BZ132" s="333">
        <f t="shared" si="661"/>
        <v>2.2615986238515129E-2</v>
      </c>
      <c r="CA132" s="333">
        <f t="shared" si="661"/>
        <v>2.2093890711076813E-2</v>
      </c>
      <c r="CB132" s="333">
        <f t="shared" si="661"/>
        <v>2.0611169743344648E-2</v>
      </c>
      <c r="CC132" s="333">
        <f t="shared" si="661"/>
        <v>2.190683749218314E-2</v>
      </c>
      <c r="CD132" s="333">
        <f t="shared" si="661"/>
        <v>2.1738446256336141E-2</v>
      </c>
      <c r="CE132" s="333">
        <f t="shared" si="661"/>
        <v>2.1539907808917347E-2</v>
      </c>
      <c r="CF132" s="333">
        <f t="shared" si="661"/>
        <v>2.0776605741842147E-2</v>
      </c>
      <c r="CG132" s="333">
        <f t="shared" si="661"/>
        <v>2.2528952514976996E-2</v>
      </c>
      <c r="CH132" s="333">
        <f t="shared" si="661"/>
        <v>2.2221752981628429E-2</v>
      </c>
      <c r="CI132" s="333">
        <f t="shared" si="661"/>
        <v>2.2250505755472494E-2</v>
      </c>
      <c r="CJ132" s="333">
        <f t="shared" ref="CJ132" si="662">+CJ131/CI131-1</f>
        <v>2.1413136936952792E-2</v>
      </c>
      <c r="CK132" s="333">
        <f t="shared" ref="CK132" si="663">+CK131/CJ131-1</f>
        <v>2.3429799111083005E-2</v>
      </c>
      <c r="CL132" s="333">
        <f t="shared" ref="CL132" si="664">+CL131/CK131-1</f>
        <v>2.2791069192715341E-2</v>
      </c>
      <c r="CM132" s="333">
        <f t="shared" ref="CM132" si="665">+CM131/CL131-1</f>
        <v>2.4348894453350978E-2</v>
      </c>
      <c r="CN132" s="333">
        <f t="shared" ref="CN132" si="666">+CN131/CM131-1</f>
        <v>2.2830248693581856E-2</v>
      </c>
      <c r="CO132" s="333">
        <f t="shared" ref="CO132" si="667">+CO131/CN131-1</f>
        <v>2.4936976483220796E-2</v>
      </c>
      <c r="CP132" s="333">
        <f t="shared" ref="CP132" si="668">+CP131/CO131-1</f>
        <v>2.4265853320513342E-2</v>
      </c>
      <c r="CQ132" s="333">
        <f t="shared" ref="CQ132" si="669">+CQ131/CP131-1</f>
        <v>2.5646651838809653E-2</v>
      </c>
    </row>
    <row r="133" spans="1:95" s="325" customFormat="1" ht="11.25" customHeight="1">
      <c r="A133" s="329" t="s">
        <v>298</v>
      </c>
      <c r="B133" s="346"/>
      <c r="C133" s="346">
        <f t="shared" ref="C133:U133" si="670">+AVERAGE(B99:C99)</f>
        <v>0</v>
      </c>
      <c r="D133" s="346">
        <f t="shared" si="670"/>
        <v>0</v>
      </c>
      <c r="E133" s="346">
        <f t="shared" si="670"/>
        <v>0</v>
      </c>
      <c r="F133" s="346">
        <f t="shared" si="670"/>
        <v>0</v>
      </c>
      <c r="G133" s="346">
        <f t="shared" si="670"/>
        <v>0</v>
      </c>
      <c r="H133" s="346">
        <f t="shared" si="670"/>
        <v>0</v>
      </c>
      <c r="I133" s="346">
        <f t="shared" si="670"/>
        <v>16754.656833260957</v>
      </c>
      <c r="J133" s="346">
        <f t="shared" si="670"/>
        <v>36970.12820243535</v>
      </c>
      <c r="K133" s="346">
        <f t="shared" si="670"/>
        <v>43728.320128374718</v>
      </c>
      <c r="L133" s="346">
        <f t="shared" si="670"/>
        <v>50895.412170783064</v>
      </c>
      <c r="M133" s="346">
        <f t="shared" si="670"/>
        <v>59529.683720864967</v>
      </c>
      <c r="N133" s="346">
        <f t="shared" si="670"/>
        <v>72092.094309282227</v>
      </c>
      <c r="O133" s="346">
        <f t="shared" si="670"/>
        <v>85109.223499999993</v>
      </c>
      <c r="P133" s="345">
        <f t="shared" si="670"/>
        <v>95836.209717934515</v>
      </c>
      <c r="Q133" s="345">
        <f t="shared" si="670"/>
        <v>108041.72122319081</v>
      </c>
      <c r="R133" s="345">
        <f t="shared" si="670"/>
        <v>122032.10048068257</v>
      </c>
      <c r="S133" s="345">
        <f t="shared" si="670"/>
        <v>137680.43994500773</v>
      </c>
      <c r="T133" s="345">
        <f t="shared" si="670"/>
        <v>155880.65642755554</v>
      </c>
      <c r="U133" s="345">
        <f t="shared" si="670"/>
        <v>177267.84312412978</v>
      </c>
      <c r="V133" s="323"/>
      <c r="W133" s="329" t="s">
        <v>298</v>
      </c>
      <c r="X133" s="358">
        <v>0</v>
      </c>
      <c r="Y133" s="358">
        <f t="shared" ref="Y133:BD133" si="671">+AVERAGE(X99:Y99)</f>
        <v>0</v>
      </c>
      <c r="Z133" s="358">
        <f t="shared" si="671"/>
        <v>0</v>
      </c>
      <c r="AA133" s="358">
        <f t="shared" si="671"/>
        <v>0</v>
      </c>
      <c r="AB133" s="358">
        <f t="shared" si="671"/>
        <v>0</v>
      </c>
      <c r="AC133" s="358">
        <f t="shared" si="671"/>
        <v>0</v>
      </c>
      <c r="AD133" s="358">
        <f t="shared" si="671"/>
        <v>0</v>
      </c>
      <c r="AE133" s="358">
        <f t="shared" si="671"/>
        <v>0</v>
      </c>
      <c r="AF133" s="358">
        <f t="shared" si="671"/>
        <v>0</v>
      </c>
      <c r="AG133" s="358">
        <f t="shared" si="671"/>
        <v>0</v>
      </c>
      <c r="AH133" s="358">
        <f t="shared" si="671"/>
        <v>0</v>
      </c>
      <c r="AI133" s="358">
        <f t="shared" si="671"/>
        <v>0</v>
      </c>
      <c r="AJ133" s="358">
        <f t="shared" si="671"/>
        <v>0</v>
      </c>
      <c r="AK133" s="358">
        <f t="shared" si="671"/>
        <v>0</v>
      </c>
      <c r="AL133" s="358">
        <f t="shared" si="671"/>
        <v>0</v>
      </c>
      <c r="AM133" s="358">
        <f t="shared" si="671"/>
        <v>0</v>
      </c>
      <c r="AN133" s="358">
        <f t="shared" si="671"/>
        <v>0</v>
      </c>
      <c r="AO133" s="358">
        <f t="shared" si="671"/>
        <v>0</v>
      </c>
      <c r="AP133" s="358">
        <f t="shared" si="671"/>
        <v>0</v>
      </c>
      <c r="AQ133" s="358">
        <f t="shared" si="671"/>
        <v>0</v>
      </c>
      <c r="AR133" s="358">
        <f t="shared" si="671"/>
        <v>15994.279374775688</v>
      </c>
      <c r="AS133" s="358">
        <f t="shared" si="671"/>
        <v>31952.830443594787</v>
      </c>
      <c r="AT133" s="358">
        <f t="shared" si="671"/>
        <v>31352.567364068855</v>
      </c>
      <c r="AU133" s="358">
        <f t="shared" si="671"/>
        <v>32148.673128510716</v>
      </c>
      <c r="AV133" s="358">
        <f t="shared" si="671"/>
        <v>33691.077407627003</v>
      </c>
      <c r="AW133" s="358">
        <f t="shared" si="671"/>
        <v>34878.125333878415</v>
      </c>
      <c r="AX133" s="358">
        <f t="shared" si="671"/>
        <v>36627.505608979816</v>
      </c>
      <c r="AY133" s="358">
        <f t="shared" si="671"/>
        <v>38901.27221864184</v>
      </c>
      <c r="AZ133" s="358">
        <f t="shared" si="671"/>
        <v>40792.758717572353</v>
      </c>
      <c r="BA133" s="358">
        <f t="shared" si="671"/>
        <v>42842.170380405172</v>
      </c>
      <c r="BB133" s="358">
        <f t="shared" si="671"/>
        <v>45005.243441843661</v>
      </c>
      <c r="BC133" s="358">
        <f t="shared" si="671"/>
        <v>46253.209169036774</v>
      </c>
      <c r="BD133" s="358">
        <f t="shared" si="671"/>
        <v>47641.895766667018</v>
      </c>
      <c r="BE133" s="358">
        <f t="shared" ref="BE133:CI133" si="672">+AVERAGE(BD99:BE99)</f>
        <v>49813.677414755715</v>
      </c>
      <c r="BF133" s="358">
        <f t="shared" si="672"/>
        <v>52038.051606921988</v>
      </c>
      <c r="BG133" s="359">
        <f t="shared" si="672"/>
        <v>53735.984611215717</v>
      </c>
      <c r="BH133" s="358">
        <f t="shared" si="672"/>
        <v>55439.576365678877</v>
      </c>
      <c r="BI133" s="358">
        <f t="shared" si="672"/>
        <v>57759.087229611068</v>
      </c>
      <c r="BJ133" s="358">
        <f t="shared" si="672"/>
        <v>60881.166632537541</v>
      </c>
      <c r="BK133" s="358">
        <f t="shared" si="672"/>
        <v>63326.212666304826</v>
      </c>
      <c r="BL133" s="358">
        <f t="shared" si="672"/>
        <v>67370.728309282218</v>
      </c>
      <c r="BM133" s="358">
        <f t="shared" si="672"/>
        <v>71956.072</v>
      </c>
      <c r="BN133" s="358">
        <f t="shared" si="672"/>
        <v>74572.743000000002</v>
      </c>
      <c r="BO133" s="358">
        <f t="shared" si="672"/>
        <v>77785.252999999997</v>
      </c>
      <c r="BP133" s="358">
        <f t="shared" si="672"/>
        <v>80755.335500000001</v>
      </c>
      <c r="BQ133" s="358">
        <f t="shared" si="672"/>
        <v>82561.967499999999</v>
      </c>
      <c r="BR133" s="358">
        <f t="shared" si="672"/>
        <v>85672.951000000001</v>
      </c>
      <c r="BS133" s="358">
        <f t="shared" si="672"/>
        <v>89085.594500000007</v>
      </c>
      <c r="BT133" s="357">
        <f t="shared" si="672"/>
        <v>93638.195127065468</v>
      </c>
      <c r="BU133" s="357">
        <f t="shared" si="672"/>
        <v>96255.655694999994</v>
      </c>
      <c r="BV133" s="357">
        <f t="shared" si="672"/>
        <v>98800.90870499998</v>
      </c>
      <c r="BW133" s="357">
        <f t="shared" si="672"/>
        <v>101691.15885499997</v>
      </c>
      <c r="BX133" s="357">
        <f t="shared" si="672"/>
        <v>104611.65911544161</v>
      </c>
      <c r="BY133" s="357">
        <f t="shared" si="672"/>
        <v>107917.33159245869</v>
      </c>
      <c r="BZ133" s="357">
        <f t="shared" si="672"/>
        <v>111288.13995973169</v>
      </c>
      <c r="CA133" s="357">
        <f t="shared" si="672"/>
        <v>114680.26827003638</v>
      </c>
      <c r="CB133" s="357">
        <f t="shared" si="672"/>
        <v>117919.47140764946</v>
      </c>
      <c r="CC133" s="357">
        <f t="shared" si="672"/>
        <v>121496.11908646241</v>
      </c>
      <c r="CD133" s="357">
        <f t="shared" si="672"/>
        <v>125147.46288349412</v>
      </c>
      <c r="CE133" s="357">
        <f t="shared" si="672"/>
        <v>128863.39367485115</v>
      </c>
      <c r="CF133" s="357">
        <f t="shared" si="672"/>
        <v>132522.43310535408</v>
      </c>
      <c r="CG133" s="357">
        <f t="shared" si="672"/>
        <v>136618.41766393388</v>
      </c>
      <c r="CH133" s="357">
        <f t="shared" si="672"/>
        <v>140764.83653876145</v>
      </c>
      <c r="CI133" s="357">
        <f t="shared" si="672"/>
        <v>145024.61297433684</v>
      </c>
      <c r="CJ133" s="357">
        <f t="shared" ref="CJ133" si="673">+AVERAGE(CI99:CJ99)</f>
        <v>149202.1315389002</v>
      </c>
      <c r="CK133" s="357">
        <f t="shared" ref="CK133" si="674">+AVERAGE(CJ99:CK99)</f>
        <v>153904.3646802695</v>
      </c>
      <c r="CL133" s="357">
        <f t="shared" ref="CL133" si="675">+AVERAGE(CK99:CL99)</f>
        <v>158576.54279783432</v>
      </c>
      <c r="CM133" s="357">
        <f t="shared" ref="CM133" si="676">+AVERAGE(CL99:CM99)</f>
        <v>163718.76514485764</v>
      </c>
      <c r="CN133" s="357">
        <f t="shared" ref="CN133" si="677">+AVERAGE(CM99:CN99)</f>
        <v>168632.69147225644</v>
      </c>
      <c r="CO133" s="357">
        <f t="shared" ref="CO133" si="678">+AVERAGE(CN99:CO99)</f>
        <v>174160.33233716257</v>
      </c>
      <c r="CP133" s="357">
        <f t="shared" ref="CP133" si="679">+AVERAGE(CO99:CP99)</f>
        <v>179677.38014893542</v>
      </c>
      <c r="CQ133" s="357">
        <f t="shared" ref="CQ133" si="680">+AVERAGE(CP99:CQ99)</f>
        <v>185692.470492211</v>
      </c>
    </row>
    <row r="134" spans="1:95" s="325" customFormat="1" ht="11.25" customHeight="1">
      <c r="A134" s="336" t="s">
        <v>295</v>
      </c>
      <c r="B134" s="334"/>
      <c r="C134" s="334"/>
      <c r="D134" s="334" t="e">
        <f t="shared" ref="D134:U134" si="681">+D133/C133-1</f>
        <v>#DIV/0!</v>
      </c>
      <c r="E134" s="334" t="e">
        <f t="shared" si="681"/>
        <v>#DIV/0!</v>
      </c>
      <c r="F134" s="334" t="e">
        <f t="shared" si="681"/>
        <v>#DIV/0!</v>
      </c>
      <c r="G134" s="334" t="e">
        <f t="shared" si="681"/>
        <v>#DIV/0!</v>
      </c>
      <c r="H134" s="334" t="e">
        <f t="shared" si="681"/>
        <v>#DIV/0!</v>
      </c>
      <c r="I134" s="334" t="e">
        <f t="shared" si="681"/>
        <v>#DIV/0!</v>
      </c>
      <c r="J134" s="334">
        <f t="shared" si="681"/>
        <v>1.2065583658534327</v>
      </c>
      <c r="K134" s="334">
        <f t="shared" si="681"/>
        <v>0.18280141980936349</v>
      </c>
      <c r="L134" s="334">
        <f t="shared" si="681"/>
        <v>0.16390046590785268</v>
      </c>
      <c r="M134" s="334">
        <f t="shared" si="681"/>
        <v>0.1696473450516327</v>
      </c>
      <c r="N134" s="334">
        <f t="shared" si="681"/>
        <v>0.2110276723008051</v>
      </c>
      <c r="O134" s="334">
        <f t="shared" si="681"/>
        <v>0.18056250571488452</v>
      </c>
      <c r="P134" s="333">
        <f t="shared" si="681"/>
        <v>0.12603788140464611</v>
      </c>
      <c r="Q134" s="333">
        <f t="shared" si="681"/>
        <v>0.12735803660411449</v>
      </c>
      <c r="R134" s="333">
        <f t="shared" si="681"/>
        <v>0.12949052550348283</v>
      </c>
      <c r="S134" s="333">
        <f t="shared" si="681"/>
        <v>0.12823133751436377</v>
      </c>
      <c r="T134" s="333">
        <f t="shared" si="681"/>
        <v>0.13219173682054852</v>
      </c>
      <c r="U134" s="333">
        <f t="shared" si="681"/>
        <v>0.13720231353088885</v>
      </c>
      <c r="V134" s="323"/>
      <c r="W134" s="336" t="s">
        <v>295</v>
      </c>
      <c r="X134" s="334">
        <v>0</v>
      </c>
      <c r="Y134" s="334">
        <v>0</v>
      </c>
      <c r="Z134" s="334" t="e">
        <f t="shared" ref="Z134:BE134" si="682">+Z133/Y133-1</f>
        <v>#DIV/0!</v>
      </c>
      <c r="AA134" s="334" t="e">
        <f t="shared" si="682"/>
        <v>#DIV/0!</v>
      </c>
      <c r="AB134" s="334" t="e">
        <f t="shared" si="682"/>
        <v>#DIV/0!</v>
      </c>
      <c r="AC134" s="334" t="e">
        <f t="shared" si="682"/>
        <v>#DIV/0!</v>
      </c>
      <c r="AD134" s="334" t="e">
        <f t="shared" si="682"/>
        <v>#DIV/0!</v>
      </c>
      <c r="AE134" s="334" t="e">
        <f t="shared" si="682"/>
        <v>#DIV/0!</v>
      </c>
      <c r="AF134" s="334" t="e">
        <f t="shared" si="682"/>
        <v>#DIV/0!</v>
      </c>
      <c r="AG134" s="334" t="e">
        <f t="shared" si="682"/>
        <v>#DIV/0!</v>
      </c>
      <c r="AH134" s="334" t="e">
        <f t="shared" si="682"/>
        <v>#DIV/0!</v>
      </c>
      <c r="AI134" s="334" t="e">
        <f t="shared" si="682"/>
        <v>#DIV/0!</v>
      </c>
      <c r="AJ134" s="334" t="e">
        <f t="shared" si="682"/>
        <v>#DIV/0!</v>
      </c>
      <c r="AK134" s="334" t="e">
        <f t="shared" si="682"/>
        <v>#DIV/0!</v>
      </c>
      <c r="AL134" s="334" t="e">
        <f t="shared" si="682"/>
        <v>#DIV/0!</v>
      </c>
      <c r="AM134" s="334" t="e">
        <f t="shared" si="682"/>
        <v>#DIV/0!</v>
      </c>
      <c r="AN134" s="334" t="e">
        <f t="shared" si="682"/>
        <v>#DIV/0!</v>
      </c>
      <c r="AO134" s="334" t="e">
        <f t="shared" si="682"/>
        <v>#DIV/0!</v>
      </c>
      <c r="AP134" s="334" t="e">
        <f t="shared" si="682"/>
        <v>#DIV/0!</v>
      </c>
      <c r="AQ134" s="334" t="e">
        <f t="shared" si="682"/>
        <v>#DIV/0!</v>
      </c>
      <c r="AR134" s="334" t="e">
        <f t="shared" si="682"/>
        <v>#DIV/0!</v>
      </c>
      <c r="AS134" s="334">
        <f t="shared" si="682"/>
        <v>0.99776618220056013</v>
      </c>
      <c r="AT134" s="334">
        <f t="shared" si="682"/>
        <v>-1.8785912584037168E-2</v>
      </c>
      <c r="AU134" s="334">
        <f t="shared" si="682"/>
        <v>2.5392043822038746E-2</v>
      </c>
      <c r="AV134" s="334">
        <f t="shared" si="682"/>
        <v>4.7977229820673983E-2</v>
      </c>
      <c r="AW134" s="334">
        <f t="shared" si="682"/>
        <v>3.5233302630526486E-2</v>
      </c>
      <c r="AX134" s="334">
        <f t="shared" si="682"/>
        <v>5.0156946749720044E-2</v>
      </c>
      <c r="AY134" s="334">
        <f t="shared" si="682"/>
        <v>6.2078117847713221E-2</v>
      </c>
      <c r="AZ134" s="334">
        <f t="shared" si="682"/>
        <v>4.8622741392609248E-2</v>
      </c>
      <c r="BA134" s="334">
        <f t="shared" si="682"/>
        <v>5.0239594655067776E-2</v>
      </c>
      <c r="BB134" s="334">
        <f t="shared" si="682"/>
        <v>5.0489343612428517E-2</v>
      </c>
      <c r="BC134" s="334">
        <f t="shared" si="682"/>
        <v>2.7729340666843738E-2</v>
      </c>
      <c r="BD134" s="334">
        <f t="shared" si="682"/>
        <v>3.002357290615576E-2</v>
      </c>
      <c r="BE134" s="334">
        <f t="shared" si="682"/>
        <v>4.5585542160734072E-2</v>
      </c>
      <c r="BF134" s="334">
        <f t="shared" ref="BF134:CI134" si="683">+BF133/BE133-1</f>
        <v>4.4653884386928855E-2</v>
      </c>
      <c r="BG134" s="335">
        <f t="shared" si="683"/>
        <v>3.2628681356468681E-2</v>
      </c>
      <c r="BH134" s="334">
        <f t="shared" si="683"/>
        <v>3.1702996917033932E-2</v>
      </c>
      <c r="BI134" s="334">
        <f t="shared" si="683"/>
        <v>4.183853874771204E-2</v>
      </c>
      <c r="BJ134" s="334">
        <f t="shared" si="683"/>
        <v>5.4053475438681886E-2</v>
      </c>
      <c r="BK134" s="334">
        <f t="shared" si="683"/>
        <v>4.0160958946876546E-2</v>
      </c>
      <c r="BL134" s="334">
        <f t="shared" si="683"/>
        <v>6.3867954085456313E-2</v>
      </c>
      <c r="BM134" s="334">
        <f t="shared" si="683"/>
        <v>6.8061364420280768E-2</v>
      </c>
      <c r="BN134" s="334">
        <f t="shared" si="683"/>
        <v>3.6364839370331525E-2</v>
      </c>
      <c r="BO134" s="334">
        <f t="shared" si="683"/>
        <v>4.3078876688229073E-2</v>
      </c>
      <c r="BP134" s="334">
        <f t="shared" si="683"/>
        <v>3.8183105221757163E-2</v>
      </c>
      <c r="BQ134" s="334">
        <f t="shared" si="683"/>
        <v>2.2371673510043211E-2</v>
      </c>
      <c r="BR134" s="334">
        <f t="shared" si="683"/>
        <v>3.768058821999376E-2</v>
      </c>
      <c r="BS134" s="334">
        <f t="shared" si="683"/>
        <v>3.9833383351064899E-2</v>
      </c>
      <c r="BT134" s="333">
        <f t="shared" si="683"/>
        <v>5.1103667799685226E-2</v>
      </c>
      <c r="BU134" s="333">
        <f t="shared" si="683"/>
        <v>2.7952915627887487E-2</v>
      </c>
      <c r="BV134" s="333">
        <f t="shared" si="683"/>
        <v>2.6442633335385324E-2</v>
      </c>
      <c r="BW134" s="333">
        <f t="shared" si="683"/>
        <v>2.9253274973712218E-2</v>
      </c>
      <c r="BX134" s="333">
        <f t="shared" si="683"/>
        <v>2.8719313392877588E-2</v>
      </c>
      <c r="BY134" s="333">
        <f t="shared" si="683"/>
        <v>3.1599465154922957E-2</v>
      </c>
      <c r="BZ134" s="333">
        <f t="shared" si="683"/>
        <v>3.1235097435531323E-2</v>
      </c>
      <c r="CA134" s="333">
        <f t="shared" si="683"/>
        <v>3.0480591296899062E-2</v>
      </c>
      <c r="CB134" s="333">
        <f t="shared" si="683"/>
        <v>2.8245514127903437E-2</v>
      </c>
      <c r="CC134" s="333">
        <f t="shared" si="683"/>
        <v>3.033127299602989E-2</v>
      </c>
      <c r="CD134" s="333">
        <f t="shared" si="683"/>
        <v>3.0053172269916217E-2</v>
      </c>
      <c r="CE134" s="333">
        <f t="shared" si="683"/>
        <v>2.9692418094135586E-2</v>
      </c>
      <c r="CF134" s="333">
        <f t="shared" si="683"/>
        <v>2.8394715723034869E-2</v>
      </c>
      <c r="CG134" s="333">
        <f t="shared" si="683"/>
        <v>3.0907858108246034E-2</v>
      </c>
      <c r="CH134" s="333">
        <f t="shared" si="683"/>
        <v>3.0350365241583299E-2</v>
      </c>
      <c r="CI134" s="333">
        <f t="shared" si="683"/>
        <v>3.0261651562408565E-2</v>
      </c>
      <c r="CJ134" s="333">
        <f t="shared" ref="CJ134" si="684">+CJ133/CI133-1</f>
        <v>2.8805583265391066E-2</v>
      </c>
      <c r="CK134" s="333">
        <f t="shared" ref="CK134" si="685">+CK133/CJ133-1</f>
        <v>3.1515857668181768E-2</v>
      </c>
      <c r="CL134" s="333">
        <f t="shared" ref="CL134" si="686">+CL133/CK133-1</f>
        <v>3.0357671319270807E-2</v>
      </c>
      <c r="CM134" s="333">
        <f t="shared" ref="CM134" si="687">+CM133/CL133-1</f>
        <v>3.2427383371442353E-2</v>
      </c>
      <c r="CN134" s="333">
        <f t="shared" ref="CN134" si="688">+CN133/CM133-1</f>
        <v>3.0014435566081854E-2</v>
      </c>
      <c r="CO134" s="333">
        <f t="shared" ref="CO134" si="689">+CO133/CN133-1</f>
        <v>3.277917713728451E-2</v>
      </c>
      <c r="CP134" s="333">
        <f t="shared" ref="CP134" si="690">+CP133/CO133-1</f>
        <v>3.167798164907154E-2</v>
      </c>
      <c r="CQ134" s="333">
        <f t="shared" ref="CQ134" si="691">+CQ133/CP133-1</f>
        <v>3.3477170795175315E-2</v>
      </c>
    </row>
    <row r="135" spans="1:95" s="325" customFormat="1" ht="11.25" customHeight="1">
      <c r="A135" s="325" t="s">
        <v>297</v>
      </c>
      <c r="B135" s="361"/>
      <c r="C135" s="361">
        <f t="shared" ref="C135:U135" si="692">+AVERAGE(B105:C105)</f>
        <v>0</v>
      </c>
      <c r="D135" s="361">
        <f t="shared" si="692"/>
        <v>0</v>
      </c>
      <c r="E135" s="361">
        <f t="shared" si="692"/>
        <v>0</v>
      </c>
      <c r="F135" s="361">
        <f t="shared" si="692"/>
        <v>0</v>
      </c>
      <c r="G135" s="361">
        <f t="shared" si="692"/>
        <v>0</v>
      </c>
      <c r="H135" s="361">
        <f t="shared" si="692"/>
        <v>0</v>
      </c>
      <c r="I135" s="361">
        <f t="shared" si="692"/>
        <v>7455.2455126195018</v>
      </c>
      <c r="J135" s="361">
        <f t="shared" si="692"/>
        <v>12943.970356152968</v>
      </c>
      <c r="K135" s="361">
        <f t="shared" si="692"/>
        <v>13654.296856022309</v>
      </c>
      <c r="L135" s="361">
        <f t="shared" si="692"/>
        <v>18331.690859174341</v>
      </c>
      <c r="M135" s="361">
        <f t="shared" si="692"/>
        <v>20565.103542880934</v>
      </c>
      <c r="N135" s="361">
        <f t="shared" si="692"/>
        <v>21080.541196195431</v>
      </c>
      <c r="O135" s="361">
        <f t="shared" si="692"/>
        <v>23559.078500000003</v>
      </c>
      <c r="P135" s="360">
        <f t="shared" si="692"/>
        <v>26174.723591810369</v>
      </c>
      <c r="Q135" s="360">
        <f t="shared" si="692"/>
        <v>26989.990493294044</v>
      </c>
      <c r="R135" s="360">
        <f t="shared" si="692"/>
        <v>27796.361470011856</v>
      </c>
      <c r="S135" s="360">
        <f t="shared" si="692"/>
        <v>28630.252314112204</v>
      </c>
      <c r="T135" s="360">
        <f t="shared" si="692"/>
        <v>29489.159883535558</v>
      </c>
      <c r="U135" s="360">
        <f t="shared" si="692"/>
        <v>30373.834680041618</v>
      </c>
      <c r="V135" s="323"/>
      <c r="W135" s="325" t="s">
        <v>297</v>
      </c>
      <c r="X135" s="358">
        <v>0</v>
      </c>
      <c r="Y135" s="358">
        <f t="shared" ref="Y135:BD135" si="693">+AVERAGE(X105:Y105)</f>
        <v>0</v>
      </c>
      <c r="Z135" s="358">
        <f t="shared" si="693"/>
        <v>0</v>
      </c>
      <c r="AA135" s="358">
        <f t="shared" si="693"/>
        <v>0</v>
      </c>
      <c r="AB135" s="358">
        <f t="shared" si="693"/>
        <v>0</v>
      </c>
      <c r="AC135" s="358">
        <f t="shared" si="693"/>
        <v>0</v>
      </c>
      <c r="AD135" s="358">
        <f t="shared" si="693"/>
        <v>0</v>
      </c>
      <c r="AE135" s="358">
        <f t="shared" si="693"/>
        <v>0</v>
      </c>
      <c r="AF135" s="358">
        <f t="shared" si="693"/>
        <v>0</v>
      </c>
      <c r="AG135" s="358">
        <f t="shared" si="693"/>
        <v>0</v>
      </c>
      <c r="AH135" s="358">
        <f t="shared" si="693"/>
        <v>0</v>
      </c>
      <c r="AI135" s="358">
        <f t="shared" si="693"/>
        <v>0</v>
      </c>
      <c r="AJ135" s="358">
        <f t="shared" si="693"/>
        <v>0</v>
      </c>
      <c r="AK135" s="358">
        <f t="shared" si="693"/>
        <v>0</v>
      </c>
      <c r="AL135" s="358">
        <f t="shared" si="693"/>
        <v>0</v>
      </c>
      <c r="AM135" s="358">
        <f t="shared" si="693"/>
        <v>0</v>
      </c>
      <c r="AN135" s="358">
        <f t="shared" si="693"/>
        <v>0</v>
      </c>
      <c r="AO135" s="358">
        <f t="shared" si="693"/>
        <v>0</v>
      </c>
      <c r="AP135" s="358">
        <f t="shared" si="693"/>
        <v>0</v>
      </c>
      <c r="AQ135" s="358">
        <f t="shared" si="693"/>
        <v>0</v>
      </c>
      <c r="AR135" s="358">
        <f t="shared" si="693"/>
        <v>8371.0304887704442</v>
      </c>
      <c r="AS135" s="358">
        <f t="shared" si="693"/>
        <v>15820.556263636443</v>
      </c>
      <c r="AT135" s="358">
        <f t="shared" si="693"/>
        <v>14542.038182541517</v>
      </c>
      <c r="AU135" s="358">
        <f t="shared" si="693"/>
        <v>14547.75792029502</v>
      </c>
      <c r="AV135" s="358">
        <f t="shared" si="693"/>
        <v>16305.867110308678</v>
      </c>
      <c r="AW135" s="358">
        <f t="shared" si="693"/>
        <v>17257.635093901066</v>
      </c>
      <c r="AX135" s="358">
        <f t="shared" si="693"/>
        <v>19143.206330853463</v>
      </c>
      <c r="AY135" s="358">
        <f t="shared" si="693"/>
        <v>16224.917678175039</v>
      </c>
      <c r="AZ135" s="358">
        <f t="shared" si="693"/>
        <v>13728.964504279505</v>
      </c>
      <c r="BA135" s="358">
        <f t="shared" si="693"/>
        <v>16922.301004798726</v>
      </c>
      <c r="BB135" s="358">
        <f t="shared" si="693"/>
        <v>17639.448626706479</v>
      </c>
      <c r="BC135" s="358">
        <f t="shared" si="693"/>
        <v>17122.959295142631</v>
      </c>
      <c r="BD135" s="358">
        <f t="shared" si="693"/>
        <v>18553.820481984767</v>
      </c>
      <c r="BE135" s="358">
        <f t="shared" ref="BE135:CI135" si="694">+AVERAGE(BD105:BE105)</f>
        <v>21256.213460144623</v>
      </c>
      <c r="BF135" s="358">
        <f t="shared" si="694"/>
        <v>20443.452416329797</v>
      </c>
      <c r="BG135" s="359">
        <f t="shared" si="694"/>
        <v>19741.6062723666</v>
      </c>
      <c r="BH135" s="358">
        <f t="shared" si="694"/>
        <v>21232.012821689401</v>
      </c>
      <c r="BI135" s="358">
        <f t="shared" si="694"/>
        <v>22148.943425475867</v>
      </c>
      <c r="BJ135" s="358">
        <f t="shared" si="694"/>
        <v>20905.984092585233</v>
      </c>
      <c r="BK135" s="358">
        <f t="shared" si="694"/>
        <v>20221.919338308697</v>
      </c>
      <c r="BL135" s="358">
        <f t="shared" si="694"/>
        <v>21236.98619619543</v>
      </c>
      <c r="BM135" s="358">
        <f t="shared" si="694"/>
        <v>21734.025999999998</v>
      </c>
      <c r="BN135" s="358">
        <f t="shared" si="694"/>
        <v>22599.2595</v>
      </c>
      <c r="BO135" s="358">
        <f t="shared" si="694"/>
        <v>22384.791499999999</v>
      </c>
      <c r="BP135" s="358">
        <f t="shared" si="694"/>
        <v>22658.114000000001</v>
      </c>
      <c r="BQ135" s="358">
        <f t="shared" si="694"/>
        <v>23685.391000000003</v>
      </c>
      <c r="BR135" s="358">
        <f t="shared" si="694"/>
        <v>24476.991999999998</v>
      </c>
      <c r="BS135" s="358">
        <f t="shared" si="694"/>
        <v>25645.680500000002</v>
      </c>
      <c r="BT135" s="357">
        <f t="shared" si="694"/>
        <v>25861.133968583221</v>
      </c>
      <c r="BU135" s="357">
        <f t="shared" si="694"/>
        <v>26076.204811276824</v>
      </c>
      <c r="BV135" s="357">
        <f t="shared" si="694"/>
        <v>26288.692497061951</v>
      </c>
      <c r="BW135" s="357">
        <f t="shared" si="694"/>
        <v>26493.301246178722</v>
      </c>
      <c r="BX135" s="357">
        <f t="shared" si="694"/>
        <v>26696.279713709242</v>
      </c>
      <c r="BY135" s="357">
        <f t="shared" si="694"/>
        <v>26894.260649216543</v>
      </c>
      <c r="BZ135" s="357">
        <f t="shared" si="694"/>
        <v>27087.158765441942</v>
      </c>
      <c r="CA135" s="357">
        <f t="shared" si="694"/>
        <v>27284.765139607945</v>
      </c>
      <c r="CB135" s="357">
        <f t="shared" si="694"/>
        <v>27487.138201087</v>
      </c>
      <c r="CC135" s="357">
        <f t="shared" si="694"/>
        <v>27691.012278088925</v>
      </c>
      <c r="CD135" s="357">
        <f t="shared" si="694"/>
        <v>27896.398503753593</v>
      </c>
      <c r="CE135" s="357">
        <f t="shared" si="694"/>
        <v>28103.308093796171</v>
      </c>
      <c r="CF135" s="357">
        <f t="shared" si="694"/>
        <v>28311.7523471196</v>
      </c>
      <c r="CG135" s="357">
        <f t="shared" si="694"/>
        <v>28521.742646431579</v>
      </c>
      <c r="CH135" s="357">
        <f t="shared" si="694"/>
        <v>28733.290458866191</v>
      </c>
      <c r="CI135" s="357">
        <f t="shared" si="694"/>
        <v>28946.407336610049</v>
      </c>
      <c r="CJ135" s="357">
        <f t="shared" ref="CJ135" si="695">+AVERAGE(CI105:CJ105)</f>
        <v>29161.104917533179</v>
      </c>
      <c r="CK135" s="357">
        <f t="shared" ref="CK135" si="696">+AVERAGE(CJ105:CK105)</f>
        <v>29377.394925824519</v>
      </c>
      <c r="CL135" s="357">
        <f t="shared" ref="CL135" si="697">+AVERAGE(CK105:CL105)</f>
        <v>29595.289172632169</v>
      </c>
      <c r="CM135" s="357">
        <f t="shared" ref="CM135" si="698">+AVERAGE(CL105:CM105)</f>
        <v>29814.799556708338</v>
      </c>
      <c r="CN135" s="357">
        <f t="shared" ref="CN135" si="699">+AVERAGE(CM105:CN105)</f>
        <v>30035.938065059163</v>
      </c>
      <c r="CO135" s="357">
        <f t="shared" ref="CO135" si="700">+AVERAGE(CN105:CO105)</f>
        <v>30258.716773599248</v>
      </c>
      <c r="CP135" s="357">
        <f t="shared" ref="CP135" si="701">+AVERAGE(CO105:CP105)</f>
        <v>30483.147847811124</v>
      </c>
      <c r="CQ135" s="357">
        <f t="shared" ref="CQ135" si="702">+AVERAGE(CP105:CQ105)</f>
        <v>30709.243543409582</v>
      </c>
    </row>
    <row r="136" spans="1:95" s="325" customFormat="1" ht="11.25" customHeight="1">
      <c r="A136" s="336" t="s">
        <v>295</v>
      </c>
      <c r="B136" s="334"/>
      <c r="C136" s="334"/>
      <c r="D136" s="334" t="e">
        <f t="shared" ref="D136:U136" si="703">+D135/C135-1</f>
        <v>#DIV/0!</v>
      </c>
      <c r="E136" s="334" t="e">
        <f t="shared" si="703"/>
        <v>#DIV/0!</v>
      </c>
      <c r="F136" s="334" t="e">
        <f t="shared" si="703"/>
        <v>#DIV/0!</v>
      </c>
      <c r="G136" s="334" t="e">
        <f t="shared" si="703"/>
        <v>#DIV/0!</v>
      </c>
      <c r="H136" s="334" t="e">
        <f t="shared" si="703"/>
        <v>#DIV/0!</v>
      </c>
      <c r="I136" s="334" t="e">
        <f t="shared" si="703"/>
        <v>#DIV/0!</v>
      </c>
      <c r="J136" s="334">
        <f t="shared" si="703"/>
        <v>0.73622321816802616</v>
      </c>
      <c r="K136" s="334">
        <f t="shared" si="703"/>
        <v>5.4877018435976588E-2</v>
      </c>
      <c r="L136" s="334">
        <f t="shared" si="703"/>
        <v>0.342558394069852</v>
      </c>
      <c r="M136" s="334">
        <f t="shared" si="703"/>
        <v>0.12183342501593897</v>
      </c>
      <c r="N136" s="334">
        <f t="shared" si="703"/>
        <v>2.5063703289396999E-2</v>
      </c>
      <c r="O136" s="334">
        <f t="shared" si="703"/>
        <v>0.11757465241223941</v>
      </c>
      <c r="P136" s="333">
        <f t="shared" si="703"/>
        <v>0.11102493214284093</v>
      </c>
      <c r="Q136" s="333">
        <f t="shared" si="703"/>
        <v>3.1147106429760374E-2</v>
      </c>
      <c r="R136" s="333">
        <f t="shared" si="703"/>
        <v>2.9876667682345648E-2</v>
      </c>
      <c r="S136" s="333">
        <f t="shared" si="703"/>
        <v>2.9999999999999805E-2</v>
      </c>
      <c r="T136" s="333">
        <f t="shared" si="703"/>
        <v>2.9999999999999583E-2</v>
      </c>
      <c r="U136" s="333">
        <f t="shared" si="703"/>
        <v>2.9999999999999805E-2</v>
      </c>
      <c r="V136" s="323"/>
      <c r="W136" s="336" t="s">
        <v>295</v>
      </c>
      <c r="X136" s="334">
        <v>0</v>
      </c>
      <c r="Y136" s="334">
        <v>0</v>
      </c>
      <c r="Z136" s="334" t="e">
        <f t="shared" ref="Z136:BE136" si="704">+Z135/Y135-1</f>
        <v>#DIV/0!</v>
      </c>
      <c r="AA136" s="334" t="e">
        <f t="shared" si="704"/>
        <v>#DIV/0!</v>
      </c>
      <c r="AB136" s="334" t="e">
        <f t="shared" si="704"/>
        <v>#DIV/0!</v>
      </c>
      <c r="AC136" s="334" t="e">
        <f t="shared" si="704"/>
        <v>#DIV/0!</v>
      </c>
      <c r="AD136" s="334" t="e">
        <f t="shared" si="704"/>
        <v>#DIV/0!</v>
      </c>
      <c r="AE136" s="334" t="e">
        <f t="shared" si="704"/>
        <v>#DIV/0!</v>
      </c>
      <c r="AF136" s="334" t="e">
        <f t="shared" si="704"/>
        <v>#DIV/0!</v>
      </c>
      <c r="AG136" s="334" t="e">
        <f t="shared" si="704"/>
        <v>#DIV/0!</v>
      </c>
      <c r="AH136" s="334" t="e">
        <f t="shared" si="704"/>
        <v>#DIV/0!</v>
      </c>
      <c r="AI136" s="334" t="e">
        <f t="shared" si="704"/>
        <v>#DIV/0!</v>
      </c>
      <c r="AJ136" s="334" t="e">
        <f t="shared" si="704"/>
        <v>#DIV/0!</v>
      </c>
      <c r="AK136" s="334" t="e">
        <f t="shared" si="704"/>
        <v>#DIV/0!</v>
      </c>
      <c r="AL136" s="334" t="e">
        <f t="shared" si="704"/>
        <v>#DIV/0!</v>
      </c>
      <c r="AM136" s="334" t="e">
        <f t="shared" si="704"/>
        <v>#DIV/0!</v>
      </c>
      <c r="AN136" s="334" t="e">
        <f t="shared" si="704"/>
        <v>#DIV/0!</v>
      </c>
      <c r="AO136" s="334" t="e">
        <f t="shared" si="704"/>
        <v>#DIV/0!</v>
      </c>
      <c r="AP136" s="334" t="e">
        <f t="shared" si="704"/>
        <v>#DIV/0!</v>
      </c>
      <c r="AQ136" s="334" t="e">
        <f t="shared" si="704"/>
        <v>#DIV/0!</v>
      </c>
      <c r="AR136" s="334" t="e">
        <f t="shared" si="704"/>
        <v>#DIV/0!</v>
      </c>
      <c r="AS136" s="334">
        <f t="shared" si="704"/>
        <v>0.88991741039043837</v>
      </c>
      <c r="AT136" s="334">
        <f t="shared" si="704"/>
        <v>-8.0813724864630787E-2</v>
      </c>
      <c r="AU136" s="334">
        <f t="shared" si="704"/>
        <v>3.9332435259109566E-4</v>
      </c>
      <c r="AV136" s="334">
        <f t="shared" si="704"/>
        <v>0.12085086922988908</v>
      </c>
      <c r="AW136" s="334">
        <f t="shared" si="704"/>
        <v>5.8369663946952866E-2</v>
      </c>
      <c r="AX136" s="334">
        <f t="shared" si="704"/>
        <v>0.10926011743166164</v>
      </c>
      <c r="AY136" s="334">
        <f t="shared" si="704"/>
        <v>-0.15244513391546977</v>
      </c>
      <c r="AZ136" s="334">
        <f t="shared" si="704"/>
        <v>-0.15383456627659609</v>
      </c>
      <c r="BA136" s="334">
        <f t="shared" si="704"/>
        <v>0.2325984963777723</v>
      </c>
      <c r="BB136" s="334">
        <f t="shared" si="704"/>
        <v>4.2378847989075874E-2</v>
      </c>
      <c r="BC136" s="334">
        <f t="shared" si="704"/>
        <v>-2.9280355780615053E-2</v>
      </c>
      <c r="BD136" s="334">
        <f t="shared" si="704"/>
        <v>8.3563895830087942E-2</v>
      </c>
      <c r="BE136" s="334">
        <f t="shared" si="704"/>
        <v>0.14565156436561422</v>
      </c>
      <c r="BF136" s="334">
        <f t="shared" ref="BF136:CI136" si="705">+BF135/BE135-1</f>
        <v>-3.8236398281319084E-2</v>
      </c>
      <c r="BG136" s="335">
        <f t="shared" si="705"/>
        <v>-3.4331096806456074E-2</v>
      </c>
      <c r="BH136" s="334">
        <f t="shared" si="705"/>
        <v>7.5495708341068779E-2</v>
      </c>
      <c r="BI136" s="334">
        <f t="shared" si="705"/>
        <v>4.3186230692635164E-2</v>
      </c>
      <c r="BJ136" s="334">
        <f t="shared" si="705"/>
        <v>-5.6118222391636663E-2</v>
      </c>
      <c r="BK136" s="334">
        <f t="shared" si="705"/>
        <v>-3.2721002333449323E-2</v>
      </c>
      <c r="BL136" s="334">
        <f t="shared" si="705"/>
        <v>5.0196365681460131E-2</v>
      </c>
      <c r="BM136" s="334">
        <f t="shared" si="705"/>
        <v>2.3404441628992245E-2</v>
      </c>
      <c r="BN136" s="334">
        <f t="shared" si="705"/>
        <v>3.9810088568036139E-2</v>
      </c>
      <c r="BO136" s="334">
        <f t="shared" si="705"/>
        <v>-9.490045459232932E-3</v>
      </c>
      <c r="BP136" s="334">
        <f t="shared" si="705"/>
        <v>1.2210187439092302E-2</v>
      </c>
      <c r="BQ136" s="334">
        <f t="shared" si="705"/>
        <v>4.5338151268900839E-2</v>
      </c>
      <c r="BR136" s="334">
        <f t="shared" si="705"/>
        <v>3.3421487532124594E-2</v>
      </c>
      <c r="BS136" s="334">
        <f t="shared" si="705"/>
        <v>4.774641017981307E-2</v>
      </c>
      <c r="BT136" s="333">
        <f t="shared" si="705"/>
        <v>8.4011601323357166E-3</v>
      </c>
      <c r="BU136" s="333">
        <f t="shared" si="705"/>
        <v>8.3163732477808949E-3</v>
      </c>
      <c r="BV136" s="333">
        <f t="shared" si="705"/>
        <v>8.14871977432996E-3</v>
      </c>
      <c r="BW136" s="333">
        <f t="shared" si="705"/>
        <v>7.783146656671347E-3</v>
      </c>
      <c r="BX136" s="333">
        <f t="shared" si="705"/>
        <v>7.6615015110581552E-3</v>
      </c>
      <c r="BY136" s="333">
        <f t="shared" si="705"/>
        <v>7.4160496380186736E-3</v>
      </c>
      <c r="BZ136" s="333">
        <f t="shared" si="705"/>
        <v>7.1724639967380988E-3</v>
      </c>
      <c r="CA136" s="333">
        <f t="shared" si="705"/>
        <v>7.2952049300243349E-3</v>
      </c>
      <c r="CB136" s="333">
        <f t="shared" si="705"/>
        <v>7.4170717777328754E-3</v>
      </c>
      <c r="CC136" s="333">
        <f t="shared" si="705"/>
        <v>7.4170717777328754E-3</v>
      </c>
      <c r="CD136" s="333">
        <f t="shared" si="705"/>
        <v>7.4170717777328754E-3</v>
      </c>
      <c r="CE136" s="333">
        <f t="shared" si="705"/>
        <v>7.4170717777328754E-3</v>
      </c>
      <c r="CF136" s="333">
        <f t="shared" si="705"/>
        <v>7.4170717777328754E-3</v>
      </c>
      <c r="CG136" s="333">
        <f t="shared" si="705"/>
        <v>7.4170717777326534E-3</v>
      </c>
      <c r="CH136" s="333">
        <f t="shared" si="705"/>
        <v>7.4170717777330974E-3</v>
      </c>
      <c r="CI136" s="333">
        <f t="shared" si="705"/>
        <v>7.4170717777328754E-3</v>
      </c>
      <c r="CJ136" s="333">
        <f t="shared" ref="CJ136" si="706">+CJ135/CI135-1</f>
        <v>7.4170717777328754E-3</v>
      </c>
      <c r="CK136" s="333">
        <f t="shared" ref="CK136" si="707">+CK135/CJ135-1</f>
        <v>7.4170717777328754E-3</v>
      </c>
      <c r="CL136" s="333">
        <f t="shared" ref="CL136" si="708">+CL135/CK135-1</f>
        <v>7.4170717777330974E-3</v>
      </c>
      <c r="CM136" s="333">
        <f t="shared" ref="CM136" si="709">+CM135/CL135-1</f>
        <v>7.4170717777326534E-3</v>
      </c>
      <c r="CN136" s="333">
        <f t="shared" ref="CN136" si="710">+CN135/CM135-1</f>
        <v>7.4170717777328754E-3</v>
      </c>
      <c r="CO136" s="333">
        <f t="shared" ref="CO136" si="711">+CO135/CN135-1</f>
        <v>7.4170717777328754E-3</v>
      </c>
      <c r="CP136" s="333">
        <f t="shared" ref="CP136" si="712">+CP135/CO135-1</f>
        <v>7.4170717777328754E-3</v>
      </c>
      <c r="CQ136" s="333">
        <f t="shared" ref="CQ136" si="713">+CQ135/CP135-1</f>
        <v>7.4170717777328754E-3</v>
      </c>
    </row>
    <row r="137" spans="1:95" s="325" customFormat="1" ht="11.25" customHeight="1">
      <c r="A137" s="329" t="s">
        <v>296</v>
      </c>
      <c r="B137" s="346"/>
      <c r="C137" s="346">
        <f t="shared" ref="C137:U137" si="714">+AVERAGE(B111:C111)</f>
        <v>0</v>
      </c>
      <c r="D137" s="346">
        <f t="shared" si="714"/>
        <v>0</v>
      </c>
      <c r="E137" s="346">
        <f t="shared" si="714"/>
        <v>0</v>
      </c>
      <c r="F137" s="346">
        <f t="shared" si="714"/>
        <v>0</v>
      </c>
      <c r="G137" s="346">
        <f t="shared" si="714"/>
        <v>0</v>
      </c>
      <c r="H137" s="346">
        <f t="shared" si="714"/>
        <v>0</v>
      </c>
      <c r="I137" s="346">
        <f>I111</f>
        <v>6677.592955035102</v>
      </c>
      <c r="J137" s="346">
        <f t="shared" si="714"/>
        <v>7285.2899716868105</v>
      </c>
      <c r="K137" s="346">
        <f t="shared" si="714"/>
        <v>8496.9938163512197</v>
      </c>
      <c r="L137" s="346">
        <f t="shared" si="714"/>
        <v>9864.6593928204602</v>
      </c>
      <c r="M137" s="346">
        <f t="shared" si="714"/>
        <v>11229.915081640476</v>
      </c>
      <c r="N137" s="346">
        <f t="shared" si="714"/>
        <v>12905.483511001978</v>
      </c>
      <c r="O137" s="346">
        <f t="shared" si="714"/>
        <v>15053.735000000001</v>
      </c>
      <c r="P137" s="345">
        <f t="shared" ca="1" si="714"/>
        <v>17500.670683622786</v>
      </c>
      <c r="Q137" s="345">
        <f t="shared" ca="1" si="714"/>
        <v>20519.431892556291</v>
      </c>
      <c r="R137" s="345">
        <f t="shared" ca="1" si="714"/>
        <v>24119.965623630531</v>
      </c>
      <c r="S137" s="345">
        <f t="shared" ca="1" si="714"/>
        <v>28303.616915363789</v>
      </c>
      <c r="T137" s="345">
        <f t="shared" ca="1" si="714"/>
        <v>33126.754582144138</v>
      </c>
      <c r="U137" s="345">
        <f t="shared" ca="1" si="714"/>
        <v>38735.520589030013</v>
      </c>
      <c r="V137" s="323"/>
      <c r="W137" s="329" t="s">
        <v>296</v>
      </c>
      <c r="X137" s="358">
        <v>0</v>
      </c>
      <c r="Y137" s="358">
        <f t="shared" ref="Y137:BD137" si="715">+AVERAGE(X111:Y111)</f>
        <v>0</v>
      </c>
      <c r="Z137" s="358">
        <f t="shared" si="715"/>
        <v>0</v>
      </c>
      <c r="AA137" s="358">
        <f t="shared" si="715"/>
        <v>0</v>
      </c>
      <c r="AB137" s="358">
        <f t="shared" si="715"/>
        <v>0</v>
      </c>
      <c r="AC137" s="358">
        <f t="shared" si="715"/>
        <v>0</v>
      </c>
      <c r="AD137" s="358">
        <f t="shared" si="715"/>
        <v>0</v>
      </c>
      <c r="AE137" s="358">
        <f t="shared" si="715"/>
        <v>0</v>
      </c>
      <c r="AF137" s="358">
        <f t="shared" si="715"/>
        <v>0</v>
      </c>
      <c r="AG137" s="358">
        <f t="shared" si="715"/>
        <v>0</v>
      </c>
      <c r="AH137" s="358">
        <f t="shared" si="715"/>
        <v>0</v>
      </c>
      <c r="AI137" s="358">
        <f t="shared" si="715"/>
        <v>0</v>
      </c>
      <c r="AJ137" s="358">
        <f t="shared" si="715"/>
        <v>0</v>
      </c>
      <c r="AK137" s="358">
        <f t="shared" si="715"/>
        <v>0</v>
      </c>
      <c r="AL137" s="358">
        <f t="shared" si="715"/>
        <v>0</v>
      </c>
      <c r="AM137" s="358">
        <f t="shared" si="715"/>
        <v>0</v>
      </c>
      <c r="AN137" s="358">
        <f t="shared" si="715"/>
        <v>0</v>
      </c>
      <c r="AO137" s="358">
        <f t="shared" si="715"/>
        <v>0</v>
      </c>
      <c r="AP137" s="358">
        <f t="shared" si="715"/>
        <v>0</v>
      </c>
      <c r="AQ137" s="358">
        <f t="shared" si="715"/>
        <v>0</v>
      </c>
      <c r="AR137" s="358">
        <f t="shared" si="715"/>
        <v>2636.422915326395</v>
      </c>
      <c r="AS137" s="358">
        <f t="shared" si="715"/>
        <v>5545.227315490295</v>
      </c>
      <c r="AT137" s="358">
        <f t="shared" si="715"/>
        <v>5980.4114335208596</v>
      </c>
      <c r="AU137" s="358">
        <f t="shared" si="715"/>
        <v>6410.4035108745102</v>
      </c>
      <c r="AV137" s="358">
        <f t="shared" si="715"/>
        <v>6583.9882825766608</v>
      </c>
      <c r="AW137" s="358">
        <f t="shared" si="715"/>
        <v>6683.1133154549389</v>
      </c>
      <c r="AX137" s="358">
        <f t="shared" si="715"/>
        <v>7185.4815502804777</v>
      </c>
      <c r="AY137" s="358">
        <f t="shared" si="715"/>
        <v>7694.0535340539082</v>
      </c>
      <c r="AZ137" s="358">
        <f t="shared" si="715"/>
        <v>7872.9208274779594</v>
      </c>
      <c r="BA137" s="358">
        <f t="shared" si="715"/>
        <v>8003.1225614820396</v>
      </c>
      <c r="BB137" s="358">
        <f t="shared" si="715"/>
        <v>8364.8323843821399</v>
      </c>
      <c r="BC137" s="358">
        <f t="shared" si="715"/>
        <v>8838.6374783907595</v>
      </c>
      <c r="BD137" s="358">
        <f t="shared" si="715"/>
        <v>9209.4195317633094</v>
      </c>
      <c r="BE137" s="358">
        <f t="shared" ref="BE137:CI137" si="716">+AVERAGE(BD111:BE111)</f>
        <v>9567.0602006387526</v>
      </c>
      <c r="BF137" s="358">
        <f t="shared" si="716"/>
        <v>10114.083981393343</v>
      </c>
      <c r="BG137" s="359">
        <f t="shared" si="716"/>
        <v>10520.102060974437</v>
      </c>
      <c r="BH137" s="358">
        <f t="shared" si="716"/>
        <v>10647.736658769856</v>
      </c>
      <c r="BI137" s="358">
        <f t="shared" si="716"/>
        <v>10737.789802647814</v>
      </c>
      <c r="BJ137" s="358">
        <f t="shared" si="716"/>
        <v>11093.284704092439</v>
      </c>
      <c r="BK137" s="358">
        <f t="shared" si="716"/>
        <v>11604.828500577958</v>
      </c>
      <c r="BL137" s="358">
        <f t="shared" si="716"/>
        <v>11894.711011001977</v>
      </c>
      <c r="BM137" s="358">
        <f t="shared" si="716"/>
        <v>12382.638999999999</v>
      </c>
      <c r="BN137" s="358">
        <f t="shared" si="716"/>
        <v>13110.709500000001</v>
      </c>
      <c r="BO137" s="358">
        <f t="shared" si="716"/>
        <v>13696.753000000001</v>
      </c>
      <c r="BP137" s="358">
        <f t="shared" si="716"/>
        <v>14093.493</v>
      </c>
      <c r="BQ137" s="358">
        <f t="shared" si="716"/>
        <v>14505.620999999999</v>
      </c>
      <c r="BR137" s="358">
        <f t="shared" si="716"/>
        <v>14978.4815</v>
      </c>
      <c r="BS137" s="358">
        <f t="shared" si="716"/>
        <v>15640.6335</v>
      </c>
      <c r="BT137" s="357">
        <f t="shared" ca="1" si="716"/>
        <v>16153.23489010513</v>
      </c>
      <c r="BU137" s="357">
        <f t="shared" ca="1" si="716"/>
        <v>16604.173861079784</v>
      </c>
      <c r="BV137" s="357">
        <f t="shared" ca="1" si="716"/>
        <v>17484.209303145333</v>
      </c>
      <c r="BW137" s="357">
        <f t="shared" ca="1" si="716"/>
        <v>18405.926015793466</v>
      </c>
      <c r="BX137" s="357">
        <f t="shared" ca="1" si="716"/>
        <v>18935.24717057652</v>
      </c>
      <c r="BY137" s="357">
        <f t="shared" ca="1" si="716"/>
        <v>19514.871992481356</v>
      </c>
      <c r="BZ137" s="357">
        <f t="shared" ca="1" si="716"/>
        <v>20561.314247787261</v>
      </c>
      <c r="CA137" s="357">
        <f t="shared" ca="1" si="716"/>
        <v>21627.794951193144</v>
      </c>
      <c r="CB137" s="357">
        <f t="shared" ca="1" si="716"/>
        <v>22224.645683844232</v>
      </c>
      <c r="CC137" s="357">
        <f t="shared" ca="1" si="716"/>
        <v>22894.701714504848</v>
      </c>
      <c r="CD137" s="357">
        <f t="shared" ca="1" si="716"/>
        <v>24138.802538156375</v>
      </c>
      <c r="CE137" s="357">
        <f t="shared" ca="1" si="716"/>
        <v>25423.174713259275</v>
      </c>
      <c r="CF137" s="357">
        <f t="shared" ca="1" si="716"/>
        <v>26146.265072305956</v>
      </c>
      <c r="CG137" s="357">
        <f t="shared" ca="1" si="716"/>
        <v>26923.845112689058</v>
      </c>
      <c r="CH137" s="357">
        <f t="shared" ca="1" si="716"/>
        <v>28351.367894572475</v>
      </c>
      <c r="CI137" s="357">
        <f t="shared" ca="1" si="716"/>
        <v>29803.010940159111</v>
      </c>
      <c r="CJ137" s="357">
        <f t="shared" ref="CJ137" ca="1" si="717">+AVERAGE(CI111:CJ111)</f>
        <v>30609.221708275756</v>
      </c>
      <c r="CK137" s="357">
        <f t="shared" ref="CK137" ca="1" si="718">+AVERAGE(CJ111:CK111)</f>
        <v>31504.329405865588</v>
      </c>
      <c r="CL137" s="357">
        <f t="shared" ref="CL137" ca="1" si="719">+AVERAGE(CK111:CL111)</f>
        <v>33167.170019203317</v>
      </c>
      <c r="CM137" s="357">
        <f t="shared" ref="CM137" ca="1" si="720">+AVERAGE(CL111:CM111)</f>
        <v>34865.976902424096</v>
      </c>
      <c r="CN137" s="357">
        <f t="shared" ref="CN137" ca="1" si="721">+AVERAGE(CM111:CN111)</f>
        <v>35813.665150038825</v>
      </c>
      <c r="CO137" s="357">
        <f t="shared" ref="CO137" ca="1" si="722">+AVERAGE(CN111:CO111)</f>
        <v>36859.446318333343</v>
      </c>
      <c r="CP137" s="357">
        <f t="shared" ref="CP137" ca="1" si="723">+AVERAGE(CO111:CP111)</f>
        <v>38789.436292520673</v>
      </c>
      <c r="CQ137" s="357">
        <f t="shared" ref="CQ137" ca="1" si="724">+AVERAGE(CP111:CQ111)</f>
        <v>40758.506550301434</v>
      </c>
    </row>
    <row r="138" spans="1:95" s="325" customFormat="1" ht="11.25" customHeight="1">
      <c r="A138" s="336" t="s">
        <v>295</v>
      </c>
      <c r="B138" s="334"/>
      <c r="C138" s="334"/>
      <c r="D138" s="334" t="e">
        <f t="shared" ref="D138:U138" si="725">+D137/C137-1</f>
        <v>#DIV/0!</v>
      </c>
      <c r="E138" s="334" t="e">
        <f t="shared" si="725"/>
        <v>#DIV/0!</v>
      </c>
      <c r="F138" s="334" t="e">
        <f t="shared" si="725"/>
        <v>#DIV/0!</v>
      </c>
      <c r="G138" s="334" t="e">
        <f t="shared" si="725"/>
        <v>#DIV/0!</v>
      </c>
      <c r="H138" s="334" t="e">
        <f t="shared" si="725"/>
        <v>#DIV/0!</v>
      </c>
      <c r="I138" s="334" t="e">
        <f t="shared" si="725"/>
        <v>#DIV/0!</v>
      </c>
      <c r="J138" s="334">
        <f t="shared" si="725"/>
        <v>9.100539981154232E-2</v>
      </c>
      <c r="K138" s="334">
        <f t="shared" si="725"/>
        <v>0.16632197886062383</v>
      </c>
      <c r="L138" s="334">
        <f t="shared" si="725"/>
        <v>0.16095875859499498</v>
      </c>
      <c r="M138" s="334">
        <f t="shared" si="725"/>
        <v>0.13839866481489005</v>
      </c>
      <c r="N138" s="334">
        <f t="shared" si="725"/>
        <v>0.14920579694327785</v>
      </c>
      <c r="O138" s="334">
        <f t="shared" si="725"/>
        <v>0.16646036447736567</v>
      </c>
      <c r="P138" s="333">
        <f t="shared" ca="1" si="725"/>
        <v>0.1625467489379071</v>
      </c>
      <c r="Q138" s="333">
        <f t="shared" ca="1" si="725"/>
        <v>0.17249402971501415</v>
      </c>
      <c r="R138" s="333">
        <f t="shared" ca="1" si="725"/>
        <v>0.17546946474577507</v>
      </c>
      <c r="S138" s="333">
        <f t="shared" ca="1" si="725"/>
        <v>0.17345179329917859</v>
      </c>
      <c r="T138" s="333">
        <f t="shared" ca="1" si="725"/>
        <v>0.17040711373401352</v>
      </c>
      <c r="U138" s="333">
        <f t="shared" ca="1" si="725"/>
        <v>0.16931226972379276</v>
      </c>
      <c r="V138" s="323"/>
      <c r="W138" s="336" t="s">
        <v>295</v>
      </c>
      <c r="X138" s="334"/>
      <c r="Y138" s="334"/>
      <c r="Z138" s="334"/>
      <c r="AA138" s="334"/>
      <c r="AB138" s="334"/>
      <c r="AC138" s="334"/>
      <c r="AD138" s="334"/>
      <c r="AE138" s="334"/>
      <c r="AF138" s="334" t="e">
        <f t="shared" ref="AF138:BL138" si="726">+AF137/AE137-1</f>
        <v>#DIV/0!</v>
      </c>
      <c r="AG138" s="334" t="e">
        <f t="shared" si="726"/>
        <v>#DIV/0!</v>
      </c>
      <c r="AH138" s="334" t="e">
        <f t="shared" si="726"/>
        <v>#DIV/0!</v>
      </c>
      <c r="AI138" s="334" t="e">
        <f t="shared" si="726"/>
        <v>#DIV/0!</v>
      </c>
      <c r="AJ138" s="334" t="e">
        <f t="shared" si="726"/>
        <v>#DIV/0!</v>
      </c>
      <c r="AK138" s="334" t="e">
        <f t="shared" si="726"/>
        <v>#DIV/0!</v>
      </c>
      <c r="AL138" s="334" t="e">
        <f t="shared" si="726"/>
        <v>#DIV/0!</v>
      </c>
      <c r="AM138" s="334" t="e">
        <f t="shared" si="726"/>
        <v>#DIV/0!</v>
      </c>
      <c r="AN138" s="334" t="e">
        <f t="shared" si="726"/>
        <v>#DIV/0!</v>
      </c>
      <c r="AO138" s="334" t="e">
        <f t="shared" si="726"/>
        <v>#DIV/0!</v>
      </c>
      <c r="AP138" s="334" t="e">
        <f t="shared" si="726"/>
        <v>#DIV/0!</v>
      </c>
      <c r="AQ138" s="334" t="e">
        <f t="shared" si="726"/>
        <v>#DIV/0!</v>
      </c>
      <c r="AR138" s="334" t="e">
        <f t="shared" si="726"/>
        <v>#DIV/0!</v>
      </c>
      <c r="AS138" s="334">
        <f t="shared" si="726"/>
        <v>1.1033147918924775</v>
      </c>
      <c r="AT138" s="334">
        <f t="shared" si="726"/>
        <v>7.8479040311819404E-2</v>
      </c>
      <c r="AU138" s="334">
        <f t="shared" si="726"/>
        <v>7.190008281762994E-2</v>
      </c>
      <c r="AV138" s="334">
        <f t="shared" si="726"/>
        <v>2.7078602993974465E-2</v>
      </c>
      <c r="AW138" s="334">
        <f t="shared" si="726"/>
        <v>1.5055469211662231E-2</v>
      </c>
      <c r="AX138" s="334">
        <f t="shared" si="726"/>
        <v>7.5169791549665188E-2</v>
      </c>
      <c r="AY138" s="334">
        <f t="shared" si="726"/>
        <v>7.0777717570450038E-2</v>
      </c>
      <c r="AZ138" s="334">
        <f t="shared" si="726"/>
        <v>2.3247471912221984E-2</v>
      </c>
      <c r="BA138" s="334">
        <f t="shared" si="726"/>
        <v>1.6537919897485986E-2</v>
      </c>
      <c r="BB138" s="334">
        <f t="shared" si="726"/>
        <v>4.5196086917494105E-2</v>
      </c>
      <c r="BC138" s="334">
        <f t="shared" si="726"/>
        <v>5.6642509046954004E-2</v>
      </c>
      <c r="BD138" s="334">
        <f t="shared" si="726"/>
        <v>4.1950137029498125E-2</v>
      </c>
      <c r="BE138" s="334">
        <f t="shared" si="726"/>
        <v>3.8834224854448207E-2</v>
      </c>
      <c r="BF138" s="334">
        <f t="shared" si="726"/>
        <v>5.7177834076769907E-2</v>
      </c>
      <c r="BG138" s="335">
        <f t="shared" si="726"/>
        <v>4.0143831149517473E-2</v>
      </c>
      <c r="BH138" s="334">
        <f t="shared" si="726"/>
        <v>1.2132448626035242E-2</v>
      </c>
      <c r="BI138" s="334">
        <f t="shared" si="726"/>
        <v>8.4574916495316899E-3</v>
      </c>
      <c r="BJ138" s="334">
        <f t="shared" si="726"/>
        <v>3.3106897041043304E-2</v>
      </c>
      <c r="BK138" s="334">
        <f t="shared" si="726"/>
        <v>4.6112924181672232E-2</v>
      </c>
      <c r="BL138" s="334">
        <f t="shared" si="726"/>
        <v>2.4979473881029834E-2</v>
      </c>
      <c r="BM138" s="334">
        <f t="shared" ref="BM138:CI138" si="727">+BM137/BL137-1</f>
        <v>4.102058373227524E-2</v>
      </c>
      <c r="BN138" s="334">
        <f t="shared" si="727"/>
        <v>5.8797684403139039E-2</v>
      </c>
      <c r="BO138" s="334">
        <f t="shared" si="727"/>
        <v>4.4699602260274363E-2</v>
      </c>
      <c r="BP138" s="334">
        <f t="shared" si="727"/>
        <v>2.8965989238471268E-2</v>
      </c>
      <c r="BQ138" s="334">
        <f t="shared" si="727"/>
        <v>2.9242431241140787E-2</v>
      </c>
      <c r="BR138" s="334">
        <f t="shared" si="727"/>
        <v>3.2598432014734113E-2</v>
      </c>
      <c r="BS138" s="334">
        <f t="shared" si="727"/>
        <v>4.4206884389448975E-2</v>
      </c>
      <c r="BT138" s="333">
        <f t="shared" ca="1" si="727"/>
        <v>3.2773697440396488E-2</v>
      </c>
      <c r="BU138" s="333">
        <f t="shared" ca="1" si="727"/>
        <v>2.7916325989346014E-2</v>
      </c>
      <c r="BV138" s="333">
        <f t="shared" ca="1" si="727"/>
        <v>5.3000856858548939E-2</v>
      </c>
      <c r="BW138" s="333">
        <f t="shared" ca="1" si="727"/>
        <v>5.2717094417436439E-2</v>
      </c>
      <c r="BX138" s="333">
        <f t="shared" ca="1" si="727"/>
        <v>2.875819202624541E-2</v>
      </c>
      <c r="BY138" s="333">
        <f t="shared" ca="1" si="727"/>
        <v>3.0610892832997338E-2</v>
      </c>
      <c r="BZ138" s="333">
        <f t="shared" ca="1" si="727"/>
        <v>5.3622809091910861E-2</v>
      </c>
      <c r="CA138" s="333">
        <f t="shared" ca="1" si="727"/>
        <v>5.186831398779157E-2</v>
      </c>
      <c r="CB138" s="333">
        <f t="shared" ca="1" si="727"/>
        <v>2.7596467138604863E-2</v>
      </c>
      <c r="CC138" s="333">
        <f t="shared" ca="1" si="727"/>
        <v>3.0149233431770783E-2</v>
      </c>
      <c r="CD138" s="333">
        <f t="shared" ca="1" si="727"/>
        <v>5.4340119350117178E-2</v>
      </c>
      <c r="CE138" s="333">
        <f t="shared" ca="1" si="727"/>
        <v>5.3207783322005486E-2</v>
      </c>
      <c r="CF138" s="333">
        <f t="shared" ca="1" si="727"/>
        <v>2.8442174008644017E-2</v>
      </c>
      <c r="CG138" s="333">
        <f t="shared" ca="1" si="727"/>
        <v>2.9739622016098588E-2</v>
      </c>
      <c r="CH138" s="333">
        <f t="shared" ca="1" si="727"/>
        <v>5.3020761927152549E-2</v>
      </c>
      <c r="CI138" s="333">
        <f t="shared" ca="1" si="727"/>
        <v>5.120186972934504E-2</v>
      </c>
      <c r="CJ138" s="333">
        <f t="shared" ref="CJ138" ca="1" si="728">+CJ137/CI137-1</f>
        <v>2.7051319403110563E-2</v>
      </c>
      <c r="CK138" s="333">
        <f t="shared" ref="CK138" ca="1" si="729">+CK137/CJ137-1</f>
        <v>2.9243072761560018E-2</v>
      </c>
      <c r="CL138" s="333">
        <f t="shared" ref="CL138" ca="1" si="730">+CL137/CK137-1</f>
        <v>5.2781336555861813E-2</v>
      </c>
      <c r="CM138" s="333">
        <f t="shared" ref="CM138" ca="1" si="731">+CM137/CL137-1</f>
        <v>5.121953070573082E-2</v>
      </c>
      <c r="CN138" s="333">
        <f t="shared" ref="CN138" ca="1" si="732">+CN137/CM137-1</f>
        <v>2.7180888987190288E-2</v>
      </c>
      <c r="CO138" s="333">
        <f t="shared" ref="CO138" ca="1" si="733">+CO137/CN137-1</f>
        <v>2.9200618364897624E-2</v>
      </c>
      <c r="CP138" s="333">
        <f t="shared" ref="CP138" ca="1" si="734">+CP137/CO137-1</f>
        <v>5.23607966739148E-2</v>
      </c>
      <c r="CQ138" s="333">
        <f t="shared" ref="CQ138" ca="1" si="735">+CQ137/CP137-1</f>
        <v>5.0763054222585646E-2</v>
      </c>
    </row>
    <row r="139" spans="1:95" s="325" customFormat="1" ht="11.25" customHeight="1">
      <c r="A139" s="336"/>
      <c r="P139" s="326"/>
      <c r="Q139" s="326"/>
      <c r="R139" s="326"/>
      <c r="S139" s="326"/>
      <c r="T139" s="326"/>
      <c r="U139" s="326"/>
      <c r="V139" s="323"/>
      <c r="W139" s="336"/>
      <c r="X139" s="336"/>
      <c r="Y139" s="336"/>
      <c r="Z139" s="336"/>
      <c r="AA139" s="336"/>
      <c r="AB139" s="336"/>
      <c r="AC139" s="336"/>
      <c r="AD139" s="336"/>
      <c r="AE139" s="336"/>
      <c r="AF139" s="336"/>
      <c r="AG139" s="336"/>
      <c r="AH139" s="336"/>
      <c r="AI139" s="336"/>
      <c r="AJ139" s="336"/>
      <c r="AK139" s="336"/>
      <c r="AL139" s="336"/>
      <c r="AM139" s="336"/>
      <c r="AN139" s="336"/>
      <c r="AO139" s="336"/>
      <c r="AP139" s="336"/>
      <c r="AQ139" s="336"/>
      <c r="AR139" s="336"/>
      <c r="AS139" s="336"/>
      <c r="AT139" s="336"/>
      <c r="AU139" s="336"/>
      <c r="AV139" s="336"/>
      <c r="AW139" s="336"/>
      <c r="AX139" s="336"/>
      <c r="AY139" s="336"/>
      <c r="AZ139" s="336"/>
      <c r="BA139" s="336"/>
      <c r="BB139" s="336"/>
      <c r="BC139" s="336"/>
      <c r="BD139" s="336"/>
      <c r="BE139" s="336"/>
      <c r="BF139" s="336"/>
      <c r="BG139" s="356"/>
      <c r="BH139" s="336"/>
      <c r="BI139" s="336"/>
      <c r="BJ139" s="336"/>
      <c r="BK139" s="336"/>
      <c r="BL139" s="336"/>
      <c r="BM139" s="336"/>
      <c r="BN139" s="336"/>
      <c r="BO139" s="336"/>
      <c r="BP139" s="336"/>
      <c r="BQ139" s="336"/>
      <c r="BR139" s="336"/>
      <c r="BS139" s="336"/>
      <c r="BT139" s="355"/>
      <c r="BU139" s="355"/>
      <c r="BV139" s="355"/>
      <c r="BW139" s="355"/>
      <c r="BX139" s="355"/>
      <c r="BY139" s="355"/>
      <c r="BZ139" s="355"/>
      <c r="CA139" s="355"/>
      <c r="CB139" s="355"/>
      <c r="CC139" s="355"/>
      <c r="CD139" s="355"/>
      <c r="CE139" s="355"/>
      <c r="CF139" s="355"/>
      <c r="CG139" s="355"/>
      <c r="CH139" s="355"/>
      <c r="CI139" s="355"/>
      <c r="CJ139" s="355"/>
      <c r="CK139" s="355"/>
      <c r="CL139" s="355"/>
      <c r="CM139" s="355"/>
      <c r="CN139" s="355"/>
      <c r="CO139" s="355"/>
      <c r="CP139" s="355"/>
      <c r="CQ139" s="355"/>
    </row>
    <row r="140" spans="1:95" s="325" customFormat="1" ht="11.25" customHeight="1">
      <c r="A140" s="354" t="s">
        <v>294</v>
      </c>
      <c r="B140" s="299">
        <f t="shared" ref="B140:S140" si="736">+B126</f>
        <v>2002</v>
      </c>
      <c r="C140" s="299">
        <f t="shared" si="736"/>
        <v>2003</v>
      </c>
      <c r="D140" s="299">
        <f t="shared" si="736"/>
        <v>2004</v>
      </c>
      <c r="E140" s="299">
        <f t="shared" si="736"/>
        <v>2005</v>
      </c>
      <c r="F140" s="299">
        <f t="shared" si="736"/>
        <v>2006</v>
      </c>
      <c r="G140" s="299">
        <f t="shared" si="736"/>
        <v>2007</v>
      </c>
      <c r="H140" s="299">
        <f t="shared" si="736"/>
        <v>2008</v>
      </c>
      <c r="I140" s="299">
        <f t="shared" si="736"/>
        <v>2009</v>
      </c>
      <c r="J140" s="299">
        <f t="shared" si="736"/>
        <v>2010</v>
      </c>
      <c r="K140" s="299">
        <f t="shared" si="736"/>
        <v>2011</v>
      </c>
      <c r="L140" s="299">
        <f t="shared" si="736"/>
        <v>2012</v>
      </c>
      <c r="M140" s="299">
        <f t="shared" si="736"/>
        <v>2013</v>
      </c>
      <c r="N140" s="299">
        <f t="shared" si="736"/>
        <v>2014</v>
      </c>
      <c r="O140" s="299">
        <f t="shared" si="736"/>
        <v>2015</v>
      </c>
      <c r="P140" s="181" t="str">
        <f t="shared" si="736"/>
        <v>2016E</v>
      </c>
      <c r="Q140" s="181" t="str">
        <f t="shared" si="736"/>
        <v>2017E</v>
      </c>
      <c r="R140" s="181" t="str">
        <f t="shared" si="736"/>
        <v>2018E</v>
      </c>
      <c r="S140" s="181" t="str">
        <f t="shared" si="736"/>
        <v>2019E</v>
      </c>
      <c r="T140" s="181" t="str">
        <f t="shared" ref="T140:U140" si="737">+T126</f>
        <v>2020E</v>
      </c>
      <c r="U140" s="181" t="str">
        <f t="shared" si="737"/>
        <v>2021E</v>
      </c>
      <c r="V140" s="323"/>
      <c r="W140" s="354" t="s">
        <v>294</v>
      </c>
      <c r="X140" s="352"/>
      <c r="Y140" s="352" t="str">
        <f t="shared" ref="Y140:BD140" si="738">+Y126</f>
        <v>2Q04</v>
      </c>
      <c r="Z140" s="352" t="str">
        <f t="shared" si="738"/>
        <v>3Q04</v>
      </c>
      <c r="AA140" s="352" t="str">
        <f t="shared" si="738"/>
        <v>4Q04</v>
      </c>
      <c r="AB140" s="352" t="str">
        <f t="shared" si="738"/>
        <v>1Q05</v>
      </c>
      <c r="AC140" s="352" t="str">
        <f t="shared" si="738"/>
        <v>2Q05</v>
      </c>
      <c r="AD140" s="352" t="str">
        <f t="shared" si="738"/>
        <v>3Q05</v>
      </c>
      <c r="AE140" s="352" t="str">
        <f t="shared" si="738"/>
        <v>4Q05</v>
      </c>
      <c r="AF140" s="352" t="str">
        <f t="shared" si="738"/>
        <v>1Q06</v>
      </c>
      <c r="AG140" s="352" t="str">
        <f t="shared" si="738"/>
        <v>2Q06</v>
      </c>
      <c r="AH140" s="352" t="str">
        <f t="shared" si="738"/>
        <v>3Q06</v>
      </c>
      <c r="AI140" s="352" t="str">
        <f t="shared" si="738"/>
        <v>4Q06</v>
      </c>
      <c r="AJ140" s="352" t="str">
        <f t="shared" si="738"/>
        <v>1Q07</v>
      </c>
      <c r="AK140" s="352" t="str">
        <f t="shared" si="738"/>
        <v>2Q07</v>
      </c>
      <c r="AL140" s="352" t="str">
        <f t="shared" si="738"/>
        <v>3Q07</v>
      </c>
      <c r="AM140" s="352" t="str">
        <f t="shared" si="738"/>
        <v>4Q07</v>
      </c>
      <c r="AN140" s="352" t="str">
        <f t="shared" si="738"/>
        <v>1Q08</v>
      </c>
      <c r="AO140" s="352" t="str">
        <f t="shared" si="738"/>
        <v>2Q08</v>
      </c>
      <c r="AP140" s="352" t="str">
        <f t="shared" si="738"/>
        <v>3Q08</v>
      </c>
      <c r="AQ140" s="352" t="str">
        <f t="shared" si="738"/>
        <v>4Q08</v>
      </c>
      <c r="AR140" s="352" t="str">
        <f t="shared" si="738"/>
        <v>1Q09</v>
      </c>
      <c r="AS140" s="352" t="str">
        <f t="shared" si="738"/>
        <v>2Q09</v>
      </c>
      <c r="AT140" s="352" t="str">
        <f t="shared" si="738"/>
        <v>3Q09</v>
      </c>
      <c r="AU140" s="352" t="str">
        <f t="shared" si="738"/>
        <v>4Q09</v>
      </c>
      <c r="AV140" s="352" t="str">
        <f t="shared" si="738"/>
        <v>1Q10</v>
      </c>
      <c r="AW140" s="352" t="str">
        <f t="shared" si="738"/>
        <v>2Q10</v>
      </c>
      <c r="AX140" s="352" t="str">
        <f t="shared" si="738"/>
        <v>3Q10</v>
      </c>
      <c r="AY140" s="352" t="str">
        <f t="shared" si="738"/>
        <v>4Q10</v>
      </c>
      <c r="AZ140" s="352" t="str">
        <f t="shared" si="738"/>
        <v>1Q11</v>
      </c>
      <c r="BA140" s="352" t="str">
        <f t="shared" si="738"/>
        <v>2Q11</v>
      </c>
      <c r="BB140" s="352" t="str">
        <f t="shared" si="738"/>
        <v>3Q11</v>
      </c>
      <c r="BC140" s="352" t="str">
        <f t="shared" si="738"/>
        <v>4Q11</v>
      </c>
      <c r="BD140" s="352" t="str">
        <f t="shared" si="738"/>
        <v>1Q12</v>
      </c>
      <c r="BE140" s="352" t="str">
        <f t="shared" ref="BE140:CI140" si="739">+BE126</f>
        <v>2Q12</v>
      </c>
      <c r="BF140" s="352" t="str">
        <f t="shared" si="739"/>
        <v>3Q12</v>
      </c>
      <c r="BG140" s="353" t="str">
        <f t="shared" si="739"/>
        <v>4Q12</v>
      </c>
      <c r="BH140" s="352" t="str">
        <f t="shared" si="739"/>
        <v>1Q13</v>
      </c>
      <c r="BI140" s="352" t="str">
        <f t="shared" ref="BI140" si="740">+BI126</f>
        <v>2Q13</v>
      </c>
      <c r="BJ140" s="352" t="str">
        <f t="shared" si="739"/>
        <v>3Q13</v>
      </c>
      <c r="BK140" s="352" t="str">
        <f t="shared" si="739"/>
        <v>4Q13</v>
      </c>
      <c r="BL140" s="352" t="str">
        <f t="shared" ref="BL140" si="741">+BL126</f>
        <v>1Q14</v>
      </c>
      <c r="BM140" s="352" t="str">
        <f t="shared" si="739"/>
        <v>2Q14</v>
      </c>
      <c r="BN140" s="352" t="str">
        <f t="shared" ref="BN140:BO140" si="742">+BN126</f>
        <v>3Q14</v>
      </c>
      <c r="BO140" s="352" t="str">
        <f t="shared" si="742"/>
        <v>4Q14</v>
      </c>
      <c r="BP140" s="352" t="str">
        <f t="shared" si="739"/>
        <v>1Q15</v>
      </c>
      <c r="BQ140" s="352" t="str">
        <f t="shared" si="739"/>
        <v>2Q15</v>
      </c>
      <c r="BR140" s="352" t="str">
        <f t="shared" ref="BR140:BS140" si="743">+BR126</f>
        <v>3Q15</v>
      </c>
      <c r="BS140" s="352" t="str">
        <f t="shared" si="743"/>
        <v>4Q15</v>
      </c>
      <c r="BT140" s="181" t="str">
        <f t="shared" si="739"/>
        <v>1Q16E</v>
      </c>
      <c r="BU140" s="181" t="str">
        <f t="shared" si="739"/>
        <v>2Q16E</v>
      </c>
      <c r="BV140" s="181" t="str">
        <f t="shared" si="739"/>
        <v>3Q16E</v>
      </c>
      <c r="BW140" s="181" t="str">
        <f t="shared" si="739"/>
        <v>4Q16E</v>
      </c>
      <c r="BX140" s="181" t="str">
        <f t="shared" si="739"/>
        <v>1Q17E</v>
      </c>
      <c r="BY140" s="181" t="str">
        <f t="shared" si="739"/>
        <v>2Q17E</v>
      </c>
      <c r="BZ140" s="181" t="str">
        <f t="shared" si="739"/>
        <v>3Q17E</v>
      </c>
      <c r="CA140" s="181" t="str">
        <f t="shared" si="739"/>
        <v>4Q17E</v>
      </c>
      <c r="CB140" s="181" t="str">
        <f t="shared" si="739"/>
        <v>1Q18E</v>
      </c>
      <c r="CC140" s="181" t="str">
        <f t="shared" si="739"/>
        <v>2Q18E</v>
      </c>
      <c r="CD140" s="181" t="str">
        <f t="shared" si="739"/>
        <v>3Q18E</v>
      </c>
      <c r="CE140" s="181" t="str">
        <f t="shared" si="739"/>
        <v>4Q18E</v>
      </c>
      <c r="CF140" s="181" t="str">
        <f t="shared" si="739"/>
        <v>1Q19E</v>
      </c>
      <c r="CG140" s="181" t="str">
        <f t="shared" si="739"/>
        <v>2Q19E</v>
      </c>
      <c r="CH140" s="181" t="str">
        <f t="shared" si="739"/>
        <v>3Q19E</v>
      </c>
      <c r="CI140" s="181" t="str">
        <f t="shared" si="739"/>
        <v>4Q19E</v>
      </c>
      <c r="CJ140" s="181" t="str">
        <f t="shared" ref="CJ140:CM140" si="744">+CJ126</f>
        <v>1Q20E</v>
      </c>
      <c r="CK140" s="181" t="str">
        <f t="shared" si="744"/>
        <v>2Q20E</v>
      </c>
      <c r="CL140" s="181" t="str">
        <f t="shared" si="744"/>
        <v>3Q20E</v>
      </c>
      <c r="CM140" s="181" t="str">
        <f t="shared" si="744"/>
        <v>4Q20E</v>
      </c>
      <c r="CN140" s="181" t="str">
        <f t="shared" ref="CN140:CQ140" si="745">+CN126</f>
        <v>1Q21E</v>
      </c>
      <c r="CO140" s="181" t="str">
        <f t="shared" si="745"/>
        <v>2Q21E</v>
      </c>
      <c r="CP140" s="181" t="str">
        <f t="shared" si="745"/>
        <v>3Q21E</v>
      </c>
      <c r="CQ140" s="181" t="str">
        <f t="shared" si="745"/>
        <v>4Q21E</v>
      </c>
    </row>
    <row r="141" spans="1:95" s="325" customFormat="1" ht="11.25" customHeight="1">
      <c r="A141" s="329" t="s">
        <v>293</v>
      </c>
      <c r="B141" s="346"/>
      <c r="C141" s="346">
        <f t="shared" ref="C141:S141" si="746">+C99</f>
        <v>0</v>
      </c>
      <c r="D141" s="346">
        <f t="shared" si="746"/>
        <v>0</v>
      </c>
      <c r="E141" s="346">
        <f t="shared" si="746"/>
        <v>0</v>
      </c>
      <c r="F141" s="346">
        <f t="shared" si="746"/>
        <v>0</v>
      </c>
      <c r="G141" s="346">
        <f t="shared" si="746"/>
        <v>0</v>
      </c>
      <c r="H141" s="346">
        <f t="shared" si="746"/>
        <v>0</v>
      </c>
      <c r="I141" s="346">
        <f t="shared" si="746"/>
        <v>33509.313666521914</v>
      </c>
      <c r="J141" s="346">
        <f t="shared" si="746"/>
        <v>40430.942738348785</v>
      </c>
      <c r="K141" s="346">
        <f t="shared" si="746"/>
        <v>47025.697518400644</v>
      </c>
      <c r="L141" s="346">
        <f t="shared" si="746"/>
        <v>54765.12682316549</v>
      </c>
      <c r="M141" s="346">
        <f t="shared" si="746"/>
        <v>64294.240618564443</v>
      </c>
      <c r="N141" s="346">
        <f t="shared" si="746"/>
        <v>79889.948000000004</v>
      </c>
      <c r="O141" s="346">
        <f t="shared" si="746"/>
        <v>90328.498999999996</v>
      </c>
      <c r="P141" s="345">
        <f t="shared" si="746"/>
        <v>101343.92043586903</v>
      </c>
      <c r="Q141" s="345">
        <f t="shared" si="746"/>
        <v>114739.52201051259</v>
      </c>
      <c r="R141" s="345">
        <f t="shared" si="746"/>
        <v>129324.67895085254</v>
      </c>
      <c r="S141" s="345">
        <f t="shared" si="746"/>
        <v>146036.20093916293</v>
      </c>
      <c r="T141" s="345">
        <f t="shared" ref="T141:U141" si="747">+T99</f>
        <v>165725.11191594813</v>
      </c>
      <c r="U141" s="345">
        <f t="shared" si="747"/>
        <v>188810.57433231143</v>
      </c>
      <c r="V141" s="323"/>
      <c r="W141" s="329" t="s">
        <v>293</v>
      </c>
      <c r="X141" s="346">
        <f t="shared" ref="X141:BC141" si="748">+X99</f>
        <v>0</v>
      </c>
      <c r="Y141" s="346">
        <f t="shared" si="748"/>
        <v>0</v>
      </c>
      <c r="Z141" s="346">
        <f t="shared" si="748"/>
        <v>0</v>
      </c>
      <c r="AA141" s="346">
        <f t="shared" si="748"/>
        <v>0</v>
      </c>
      <c r="AB141" s="346">
        <f t="shared" si="748"/>
        <v>0</v>
      </c>
      <c r="AC141" s="346">
        <f t="shared" si="748"/>
        <v>0</v>
      </c>
      <c r="AD141" s="346">
        <f t="shared" si="748"/>
        <v>0</v>
      </c>
      <c r="AE141" s="346">
        <f t="shared" si="748"/>
        <v>0</v>
      </c>
      <c r="AF141" s="346">
        <f t="shared" si="748"/>
        <v>0</v>
      </c>
      <c r="AG141" s="346">
        <f t="shared" si="748"/>
        <v>0</v>
      </c>
      <c r="AH141" s="346">
        <f t="shared" si="748"/>
        <v>0</v>
      </c>
      <c r="AI141" s="346">
        <f t="shared" si="748"/>
        <v>0</v>
      </c>
      <c r="AJ141" s="346">
        <f t="shared" si="748"/>
        <v>0</v>
      </c>
      <c r="AK141" s="346">
        <f t="shared" si="748"/>
        <v>0</v>
      </c>
      <c r="AL141" s="346">
        <f t="shared" si="748"/>
        <v>0</v>
      </c>
      <c r="AM141" s="346">
        <f t="shared" si="748"/>
        <v>0</v>
      </c>
      <c r="AN141" s="346">
        <f t="shared" si="748"/>
        <v>0</v>
      </c>
      <c r="AO141" s="346">
        <f t="shared" si="748"/>
        <v>0</v>
      </c>
      <c r="AP141" s="346">
        <f t="shared" si="748"/>
        <v>0</v>
      </c>
      <c r="AQ141" s="346">
        <f t="shared" si="748"/>
        <v>0</v>
      </c>
      <c r="AR141" s="346">
        <f t="shared" si="748"/>
        <v>31988.558749551376</v>
      </c>
      <c r="AS141" s="346">
        <f t="shared" si="748"/>
        <v>31917.102137638198</v>
      </c>
      <c r="AT141" s="346">
        <f t="shared" si="748"/>
        <v>30788.032590499515</v>
      </c>
      <c r="AU141" s="346">
        <f t="shared" si="748"/>
        <v>33509.313666521914</v>
      </c>
      <c r="AV141" s="346">
        <f t="shared" si="748"/>
        <v>33872.841148732092</v>
      </c>
      <c r="AW141" s="346">
        <f t="shared" si="748"/>
        <v>35883.409519024739</v>
      </c>
      <c r="AX141" s="346">
        <f t="shared" si="748"/>
        <v>37371.601698934901</v>
      </c>
      <c r="AY141" s="346">
        <f t="shared" si="748"/>
        <v>40430.942738348785</v>
      </c>
      <c r="AZ141" s="346">
        <f t="shared" si="748"/>
        <v>41154.57469679592</v>
      </c>
      <c r="BA141" s="346">
        <f t="shared" si="748"/>
        <v>44529.766064014424</v>
      </c>
      <c r="BB141" s="346">
        <f t="shared" si="748"/>
        <v>45480.720819672904</v>
      </c>
      <c r="BC141" s="346">
        <f t="shared" si="748"/>
        <v>47025.697518400644</v>
      </c>
      <c r="BD141" s="346">
        <f t="shared" ref="BD141:CI141" si="749">+BD99</f>
        <v>48258.094014933384</v>
      </c>
      <c r="BE141" s="346">
        <f t="shared" si="749"/>
        <v>51369.26081457804</v>
      </c>
      <c r="BF141" s="346">
        <f t="shared" si="749"/>
        <v>52706.842399265945</v>
      </c>
      <c r="BG141" s="347">
        <f t="shared" si="749"/>
        <v>54765.12682316549</v>
      </c>
      <c r="BH141" s="346">
        <f t="shared" si="749"/>
        <v>56114.025908192263</v>
      </c>
      <c r="BI141" s="346">
        <f t="shared" ref="BI141" si="750">+BI99</f>
        <v>59404.148551029873</v>
      </c>
      <c r="BJ141" s="346">
        <f t="shared" si="749"/>
        <v>62358.184714045216</v>
      </c>
      <c r="BK141" s="346">
        <f t="shared" si="749"/>
        <v>64294.240618564443</v>
      </c>
      <c r="BL141" s="346">
        <f t="shared" ref="BL141" si="751">+BL99</f>
        <v>70447.216</v>
      </c>
      <c r="BM141" s="346">
        <f t="shared" si="749"/>
        <v>73464.928</v>
      </c>
      <c r="BN141" s="346">
        <f t="shared" ref="BN141:BO141" si="752">+BN99</f>
        <v>75680.558000000005</v>
      </c>
      <c r="BO141" s="346">
        <f t="shared" si="752"/>
        <v>79889.948000000004</v>
      </c>
      <c r="BP141" s="346">
        <f t="shared" si="749"/>
        <v>81620.722999999998</v>
      </c>
      <c r="BQ141" s="346">
        <f t="shared" si="749"/>
        <v>83503.212</v>
      </c>
      <c r="BR141" s="346">
        <f t="shared" ref="BR141:BS141" si="753">+BR99</f>
        <v>87842.69</v>
      </c>
      <c r="BS141" s="346">
        <f t="shared" si="753"/>
        <v>90328.498999999996</v>
      </c>
      <c r="BT141" s="345">
        <f t="shared" si="749"/>
        <v>96947.891254130955</v>
      </c>
      <c r="BU141" s="345">
        <f t="shared" si="749"/>
        <v>95563.420135869033</v>
      </c>
      <c r="BV141" s="345">
        <f t="shared" si="749"/>
        <v>102038.39727413091</v>
      </c>
      <c r="BW141" s="345">
        <f t="shared" si="749"/>
        <v>101343.92043586903</v>
      </c>
      <c r="BX141" s="345">
        <f t="shared" si="749"/>
        <v>107879.3977950142</v>
      </c>
      <c r="BY141" s="345">
        <f t="shared" si="749"/>
        <v>107955.26538990319</v>
      </c>
      <c r="BZ141" s="345">
        <f t="shared" si="749"/>
        <v>114621.01452956018</v>
      </c>
      <c r="CA141" s="345">
        <f t="shared" si="749"/>
        <v>114739.52201051259</v>
      </c>
      <c r="CB141" s="345">
        <f t="shared" si="749"/>
        <v>121099.42080478632</v>
      </c>
      <c r="CC141" s="345">
        <f t="shared" si="749"/>
        <v>121892.81736813849</v>
      </c>
      <c r="CD141" s="345">
        <f t="shared" si="749"/>
        <v>128402.10839884976</v>
      </c>
      <c r="CE141" s="345">
        <f t="shared" si="749"/>
        <v>129324.67895085254</v>
      </c>
      <c r="CF141" s="345">
        <f t="shared" si="749"/>
        <v>135720.18725985565</v>
      </c>
      <c r="CG141" s="345">
        <f t="shared" si="749"/>
        <v>137516.64806801209</v>
      </c>
      <c r="CH141" s="345">
        <f t="shared" si="749"/>
        <v>144013.02500951078</v>
      </c>
      <c r="CI141" s="345">
        <f t="shared" si="749"/>
        <v>146036.20093916293</v>
      </c>
      <c r="CJ141" s="345">
        <f t="shared" ref="CJ141:CM141" si="754">+CJ99</f>
        <v>152368.0621386375</v>
      </c>
      <c r="CK141" s="345">
        <f t="shared" si="754"/>
        <v>155440.6672219015</v>
      </c>
      <c r="CL141" s="345">
        <f t="shared" si="754"/>
        <v>161712.41837376717</v>
      </c>
      <c r="CM141" s="345">
        <f t="shared" si="754"/>
        <v>165725.11191594813</v>
      </c>
      <c r="CN141" s="345">
        <f t="shared" ref="CN141:CQ141" si="755">+CN99</f>
        <v>171540.27102856478</v>
      </c>
      <c r="CO141" s="345">
        <f t="shared" si="755"/>
        <v>176780.39364576034</v>
      </c>
      <c r="CP141" s="345">
        <f t="shared" si="755"/>
        <v>182574.36665211053</v>
      </c>
      <c r="CQ141" s="345">
        <f t="shared" si="755"/>
        <v>188810.57433231143</v>
      </c>
    </row>
    <row r="142" spans="1:95" s="325" customFormat="1" ht="11.25" customHeight="1">
      <c r="A142" s="329" t="s">
        <v>292</v>
      </c>
      <c r="B142" s="346"/>
      <c r="C142" s="346">
        <f>('Balance Sheet'!H68)/1000</f>
        <v>0</v>
      </c>
      <c r="D142" s="346">
        <f>('Balance Sheet'!I68)/1000</f>
        <v>0</v>
      </c>
      <c r="E142" s="346">
        <f>('Balance Sheet'!J68)/1000</f>
        <v>0</v>
      </c>
      <c r="F142" s="346">
        <f>('Balance Sheet'!K68)/1000</f>
        <v>0</v>
      </c>
      <c r="G142" s="346">
        <f>('Balance Sheet'!L68)/1000</f>
        <v>0</v>
      </c>
      <c r="H142" s="346">
        <f>('Balance Sheet'!M68)/1000</f>
        <v>0</v>
      </c>
      <c r="I142" s="346">
        <f>('Balance Sheet'!N68)/1000</f>
        <v>533.2703758171001</v>
      </c>
      <c r="J142" s="346">
        <f>('Balance Sheet'!O68)/1000</f>
        <v>589.18315986928008</v>
      </c>
      <c r="K142" s="346">
        <f>('Balance Sheet'!P68)/1000</f>
        <v>698.65744024776006</v>
      </c>
      <c r="L142" s="346">
        <f>('Balance Sheet'!Q68)/1000</f>
        <v>949.52315115299996</v>
      </c>
      <c r="M142" s="346">
        <f>('Balance Sheet'!R68)/1000</f>
        <v>1437.2196741747</v>
      </c>
      <c r="N142" s="346">
        <f>('Balance Sheet'!S68)/1000</f>
        <v>2009.1089999999999</v>
      </c>
      <c r="O142" s="346">
        <f>('Balance Sheet'!T68)/1000</f>
        <v>2310.8539999999998</v>
      </c>
      <c r="P142" s="345">
        <f>('Balance Sheet'!U68)/1000</f>
        <v>2398.6651488455864</v>
      </c>
      <c r="Q142" s="345">
        <f>('Balance Sheet'!V68)/1000</f>
        <v>2571.5568804804311</v>
      </c>
      <c r="R142" s="345">
        <f>('Balance Sheet'!W68)/1000</f>
        <v>2880.4238332664127</v>
      </c>
      <c r="S142" s="345">
        <f>('Balance Sheet'!X68)/1000</f>
        <v>3269.2257398031729</v>
      </c>
      <c r="T142" s="345">
        <f>('Balance Sheet'!Y68)/1000</f>
        <v>3719.5045638418501</v>
      </c>
      <c r="U142" s="345">
        <f>('Balance Sheet'!Z68)/1000</f>
        <v>4234.7151391586312</v>
      </c>
      <c r="V142" s="323"/>
      <c r="W142" s="329" t="s">
        <v>292</v>
      </c>
      <c r="X142" s="346">
        <f>('Balance Sheet'!BE68)/1000</f>
        <v>0</v>
      </c>
      <c r="Y142" s="346">
        <f>('Balance Sheet'!BF68)/1000</f>
        <v>0</v>
      </c>
      <c r="Z142" s="346">
        <f>('Balance Sheet'!BG68)/1000</f>
        <v>0</v>
      </c>
      <c r="AA142" s="346">
        <f>('Balance Sheet'!BH68)/1000</f>
        <v>0</v>
      </c>
      <c r="AB142" s="346">
        <f>('Balance Sheet'!BI68)/1000</f>
        <v>0</v>
      </c>
      <c r="AC142" s="346">
        <f>('Balance Sheet'!BJ68)/1000</f>
        <v>0</v>
      </c>
      <c r="AD142" s="346">
        <f>('Balance Sheet'!BK68)/1000</f>
        <v>0</v>
      </c>
      <c r="AE142" s="346">
        <f>('Balance Sheet'!BL68)/1000</f>
        <v>0</v>
      </c>
      <c r="AF142" s="346">
        <f>('Balance Sheet'!BM68)/1000</f>
        <v>0</v>
      </c>
      <c r="AG142" s="346">
        <f>('Balance Sheet'!BN68)/1000</f>
        <v>0</v>
      </c>
      <c r="AH142" s="346">
        <f>('Balance Sheet'!BO68)/1000</f>
        <v>0</v>
      </c>
      <c r="AI142" s="346">
        <f>('Balance Sheet'!BP68)/1000</f>
        <v>0</v>
      </c>
      <c r="AJ142" s="346">
        <f>('Balance Sheet'!BQ68)/1000</f>
        <v>0</v>
      </c>
      <c r="AK142" s="346">
        <f>('Balance Sheet'!BR68)/1000</f>
        <v>0</v>
      </c>
      <c r="AL142" s="346">
        <f>('Balance Sheet'!BS68)/1000</f>
        <v>0</v>
      </c>
      <c r="AM142" s="346">
        <f>('Balance Sheet'!BT68)/1000</f>
        <v>0</v>
      </c>
      <c r="AN142" s="346">
        <f>('Balance Sheet'!BU68)/1000</f>
        <v>0</v>
      </c>
      <c r="AO142" s="346">
        <f>('Balance Sheet'!BV68)/1000</f>
        <v>0</v>
      </c>
      <c r="AP142" s="346">
        <f>('Balance Sheet'!BW68)/1000</f>
        <v>0</v>
      </c>
      <c r="AQ142" s="346">
        <f>('Balance Sheet'!BX68)/1000</f>
        <v>0</v>
      </c>
      <c r="AR142" s="346">
        <f>('Balance Sheet'!BY68)/1000</f>
        <v>369.84656234110003</v>
      </c>
      <c r="AS142" s="346">
        <f>('Balance Sheet'!BZ68)/1000</f>
        <v>441.64879729180001</v>
      </c>
      <c r="AT142" s="346">
        <f>('Balance Sheet'!CA68)/1000</f>
        <v>478.45094161899999</v>
      </c>
      <c r="AU142" s="346">
        <f>('Balance Sheet'!CB68)/1000</f>
        <v>533.2703758171001</v>
      </c>
      <c r="AV142" s="346">
        <f>('Balance Sheet'!CC68)/1000</f>
        <v>612.94634964986994</v>
      </c>
      <c r="AW142" s="346">
        <f>('Balance Sheet'!CD68)/1000</f>
        <v>610.05034750554012</v>
      </c>
      <c r="AX142" s="346">
        <f>('Balance Sheet'!CE68)/1000</f>
        <v>594.39662056032</v>
      </c>
      <c r="AY142" s="346">
        <f>('Balance Sheet'!CF68)/1000</f>
        <v>589.18315986928008</v>
      </c>
      <c r="AZ142" s="346">
        <f>('Balance Sheet'!CG68)/1000</f>
        <v>642.62505433907984</v>
      </c>
      <c r="BA142" s="346">
        <f>('Balance Sheet'!CH68)/1000</f>
        <v>666.65684926750009</v>
      </c>
      <c r="BB142" s="346">
        <f>('Balance Sheet'!CI68)/1000</f>
        <v>700.58201326434005</v>
      </c>
      <c r="BC142" s="346">
        <f>('Balance Sheet'!CJ68)/1000</f>
        <v>698.65744024776006</v>
      </c>
      <c r="BD142" s="346">
        <f>('Balance Sheet'!CK68)/1000</f>
        <v>800.34040706045994</v>
      </c>
      <c r="BE142" s="346">
        <f>('Balance Sheet'!CL68)/1000</f>
        <v>895.2690398753698</v>
      </c>
      <c r="BF142" s="346">
        <f>('Balance Sheet'!CM68)/1000</f>
        <v>910.56909335682008</v>
      </c>
      <c r="BG142" s="347">
        <f>('Balance Sheet'!CN68)/1000</f>
        <v>949.52315115299996</v>
      </c>
      <c r="BH142" s="346">
        <f>('Balance Sheet'!CO68)/1000</f>
        <v>1106.6701232453102</v>
      </c>
      <c r="BI142" s="346">
        <f>('Balance Sheet'!CP68)/1000</f>
        <v>1251.6750377708202</v>
      </c>
      <c r="BJ142" s="346">
        <f>('Balance Sheet'!CQ68)/1000</f>
        <v>1359.5013612052601</v>
      </c>
      <c r="BK142" s="346">
        <f>('Balance Sheet'!CR68)/1000</f>
        <v>1437.2196741747</v>
      </c>
      <c r="BL142" s="346">
        <f>('Balance Sheet'!CS68)/1000</f>
        <v>1824.14</v>
      </c>
      <c r="BM142" s="346">
        <f>('Balance Sheet'!CT68)/1000</f>
        <v>1940.155</v>
      </c>
      <c r="BN142" s="346">
        <f>('Balance Sheet'!CU68)/1000</f>
        <v>1961.895</v>
      </c>
      <c r="BO142" s="346">
        <f>('Balance Sheet'!CV68)/1000</f>
        <v>2009.1089999999999</v>
      </c>
      <c r="BP142" s="346">
        <f>('Balance Sheet'!CW68)/1000</f>
        <v>2107.8290000000002</v>
      </c>
      <c r="BQ142" s="346">
        <f>('Balance Sheet'!CX68)/1000</f>
        <v>2275.38</v>
      </c>
      <c r="BR142" s="346">
        <f>('Balance Sheet'!CY68)/1000</f>
        <v>2256.6550000000002</v>
      </c>
      <c r="BS142" s="346">
        <f>('Balance Sheet'!CZ68)/1000</f>
        <v>2310.8539999999998</v>
      </c>
      <c r="BT142" s="345">
        <f>('Balance Sheet'!DA68)/1000</f>
        <v>2396.2273860121159</v>
      </c>
      <c r="BU142" s="345">
        <f>('Balance Sheet'!DB68)/1000</f>
        <v>2291.3207500753442</v>
      </c>
      <c r="BV142" s="345">
        <f>('Balance Sheet'!DC68)/1000</f>
        <v>2431.526784203133</v>
      </c>
      <c r="BW142" s="345">
        <f>('Balance Sheet'!DD68)/1000</f>
        <v>2398.6651488455864</v>
      </c>
      <c r="BX142" s="345">
        <f>('Balance Sheet'!DE68)/1000</f>
        <v>2526.8359177923753</v>
      </c>
      <c r="BY142" s="345">
        <f>('Balance Sheet'!DF68)/1000</f>
        <v>2488.154125408395</v>
      </c>
      <c r="BZ142" s="345">
        <f>('Balance Sheet'!DG68)/1000</f>
        <v>2603.5101852903667</v>
      </c>
      <c r="CA142" s="345">
        <f>('Balance Sheet'!DH68)/1000</f>
        <v>2571.5568804804311</v>
      </c>
      <c r="CB142" s="345">
        <f>('Balance Sheet'!DI68)/1000</f>
        <v>2671.3875473392518</v>
      </c>
      <c r="CC142" s="345">
        <f>('Balance Sheet'!DJ68)/1000</f>
        <v>2702.3879676752999</v>
      </c>
      <c r="CD142" s="345">
        <f>('Balance Sheet'!DK68)/1000</f>
        <v>2852.1948683103028</v>
      </c>
      <c r="CE142" s="345">
        <f>('Balance Sheet'!DL68)/1000</f>
        <v>2880.4238332664127</v>
      </c>
      <c r="CF142" s="345">
        <f>('Balance Sheet'!DM68)/1000</f>
        <v>3023.9208444851652</v>
      </c>
      <c r="CG142" s="345">
        <f>('Balance Sheet'!DN68)/1000</f>
        <v>3067.2927270052019</v>
      </c>
      <c r="CH142" s="345">
        <f>('Balance Sheet'!DO68)/1000</f>
        <v>3217.356060566739</v>
      </c>
      <c r="CI142" s="345">
        <f>('Balance Sheet'!DP68)/1000</f>
        <v>3269.2257398031729</v>
      </c>
      <c r="CJ142" s="345">
        <f>('Balance Sheet'!DQ68)/1000</f>
        <v>3410.1051456584833</v>
      </c>
      <c r="CK142" s="345">
        <f>('Balance Sheet'!DR68)/1000</f>
        <v>3480.815288197346</v>
      </c>
      <c r="CL142" s="345">
        <f>('Balance Sheet'!DS68)/1000</f>
        <v>3627.4107774267363</v>
      </c>
      <c r="CM142" s="345">
        <f>('Balance Sheet'!DT68)/1000</f>
        <v>3719.5045638418501</v>
      </c>
      <c r="CN142" s="345">
        <f>('Balance Sheet'!DU68)/1000</f>
        <v>3846.0138071047313</v>
      </c>
      <c r="CO142" s="345">
        <f>('Balance Sheet'!DV68)/1000</f>
        <v>3962.6581938014833</v>
      </c>
      <c r="CP142" s="345">
        <f>('Balance Sheet'!DW68)/1000</f>
        <v>4095.7405685487665</v>
      </c>
      <c r="CQ142" s="345">
        <f>('Balance Sheet'!DX68)/1000</f>
        <v>4234.7151391586312</v>
      </c>
    </row>
    <row r="143" spans="1:95" s="325" customFormat="1" ht="11.25" customHeight="1">
      <c r="A143" s="329" t="s">
        <v>291</v>
      </c>
      <c r="B143" s="331"/>
      <c r="C143" s="331" t="e">
        <f t="shared" ref="C143:S143" si="756">+C142/C141</f>
        <v>#DIV/0!</v>
      </c>
      <c r="D143" s="331" t="e">
        <f t="shared" si="756"/>
        <v>#DIV/0!</v>
      </c>
      <c r="E143" s="331" t="e">
        <f t="shared" si="756"/>
        <v>#DIV/0!</v>
      </c>
      <c r="F143" s="331" t="e">
        <f t="shared" si="756"/>
        <v>#DIV/0!</v>
      </c>
      <c r="G143" s="331" t="e">
        <f t="shared" si="756"/>
        <v>#DIV/0!</v>
      </c>
      <c r="H143" s="331" t="e">
        <f t="shared" si="756"/>
        <v>#DIV/0!</v>
      </c>
      <c r="I143" s="331">
        <f t="shared" si="756"/>
        <v>1.5914094246277374E-2</v>
      </c>
      <c r="J143" s="331">
        <f t="shared" si="756"/>
        <v>1.4572580305193808E-2</v>
      </c>
      <c r="K143" s="331">
        <f t="shared" si="756"/>
        <v>1.4856928809495766E-2</v>
      </c>
      <c r="L143" s="331">
        <f t="shared" si="756"/>
        <v>1.7338098279567105E-2</v>
      </c>
      <c r="M143" s="331">
        <f t="shared" si="756"/>
        <v>2.2353785663341584E-2</v>
      </c>
      <c r="N143" s="331">
        <f t="shared" si="756"/>
        <v>2.5148457976214979E-2</v>
      </c>
      <c r="O143" s="331">
        <f t="shared" si="756"/>
        <v>2.5582778697562546E-2</v>
      </c>
      <c r="P143" s="330">
        <f t="shared" si="756"/>
        <v>2.3668564809109338E-2</v>
      </c>
      <c r="Q143" s="330">
        <f t="shared" si="756"/>
        <v>2.2412128231149697E-2</v>
      </c>
      <c r="R143" s="330">
        <f t="shared" si="756"/>
        <v>2.2272808690760908E-2</v>
      </c>
      <c r="S143" s="330">
        <f t="shared" si="756"/>
        <v>2.2386406375807438E-2</v>
      </c>
      <c r="T143" s="330">
        <f t="shared" ref="T143:U143" si="757">+T142/T141</f>
        <v>2.244381989452688E-2</v>
      </c>
      <c r="U143" s="330">
        <f t="shared" si="757"/>
        <v>2.2428379099707754E-2</v>
      </c>
      <c r="V143" s="323"/>
      <c r="W143" s="329" t="s">
        <v>291</v>
      </c>
      <c r="X143" s="331" t="e">
        <f t="shared" ref="X143:BC143" si="758">+X142/X141</f>
        <v>#DIV/0!</v>
      </c>
      <c r="Y143" s="331" t="e">
        <f t="shared" si="758"/>
        <v>#DIV/0!</v>
      </c>
      <c r="Z143" s="331" t="e">
        <f t="shared" si="758"/>
        <v>#DIV/0!</v>
      </c>
      <c r="AA143" s="331" t="e">
        <f t="shared" si="758"/>
        <v>#DIV/0!</v>
      </c>
      <c r="AB143" s="331" t="e">
        <f t="shared" si="758"/>
        <v>#DIV/0!</v>
      </c>
      <c r="AC143" s="331" t="e">
        <f t="shared" si="758"/>
        <v>#DIV/0!</v>
      </c>
      <c r="AD143" s="331" t="e">
        <f t="shared" si="758"/>
        <v>#DIV/0!</v>
      </c>
      <c r="AE143" s="331" t="e">
        <f t="shared" si="758"/>
        <v>#DIV/0!</v>
      </c>
      <c r="AF143" s="331" t="e">
        <f t="shared" si="758"/>
        <v>#DIV/0!</v>
      </c>
      <c r="AG143" s="331" t="e">
        <f t="shared" si="758"/>
        <v>#DIV/0!</v>
      </c>
      <c r="AH143" s="331" t="e">
        <f t="shared" si="758"/>
        <v>#DIV/0!</v>
      </c>
      <c r="AI143" s="331" t="e">
        <f t="shared" si="758"/>
        <v>#DIV/0!</v>
      </c>
      <c r="AJ143" s="331" t="e">
        <f t="shared" si="758"/>
        <v>#DIV/0!</v>
      </c>
      <c r="AK143" s="331" t="e">
        <f t="shared" si="758"/>
        <v>#DIV/0!</v>
      </c>
      <c r="AL143" s="331" t="e">
        <f t="shared" si="758"/>
        <v>#DIV/0!</v>
      </c>
      <c r="AM143" s="331" t="e">
        <f t="shared" si="758"/>
        <v>#DIV/0!</v>
      </c>
      <c r="AN143" s="331" t="e">
        <f t="shared" si="758"/>
        <v>#DIV/0!</v>
      </c>
      <c r="AO143" s="331" t="e">
        <f t="shared" si="758"/>
        <v>#DIV/0!</v>
      </c>
      <c r="AP143" s="331" t="e">
        <f t="shared" si="758"/>
        <v>#DIV/0!</v>
      </c>
      <c r="AQ143" s="331" t="e">
        <f t="shared" si="758"/>
        <v>#DIV/0!</v>
      </c>
      <c r="AR143" s="331">
        <f t="shared" si="758"/>
        <v>1.1561838882356242E-2</v>
      </c>
      <c r="AS143" s="331">
        <f t="shared" si="758"/>
        <v>1.383737143138024E-2</v>
      </c>
      <c r="AT143" s="331">
        <f t="shared" si="758"/>
        <v>1.5540159645233033E-2</v>
      </c>
      <c r="AU143" s="331">
        <f t="shared" si="758"/>
        <v>1.5914094246277374E-2</v>
      </c>
      <c r="AV143" s="331">
        <f t="shared" si="758"/>
        <v>1.8095510410788596E-2</v>
      </c>
      <c r="AW143" s="331">
        <f t="shared" si="758"/>
        <v>1.7000902525221368E-2</v>
      </c>
      <c r="AX143" s="331">
        <f t="shared" si="758"/>
        <v>1.5905034666396447E-2</v>
      </c>
      <c r="AY143" s="331">
        <f t="shared" si="758"/>
        <v>1.4572580305193808E-2</v>
      </c>
      <c r="AZ143" s="331">
        <f t="shared" si="758"/>
        <v>1.5614911806854641E-2</v>
      </c>
      <c r="BA143" s="331">
        <f t="shared" si="758"/>
        <v>1.497103866005354E-2</v>
      </c>
      <c r="BB143" s="331">
        <f t="shared" si="758"/>
        <v>1.5403933812792606E-2</v>
      </c>
      <c r="BC143" s="331">
        <f t="shared" si="758"/>
        <v>1.4856928809495766E-2</v>
      </c>
      <c r="BD143" s="331">
        <f t="shared" ref="BD143:CI143" si="759">+BD142/BD141</f>
        <v>1.6584583858881702E-2</v>
      </c>
      <c r="BE143" s="331">
        <f t="shared" si="759"/>
        <v>1.7428108282634702E-2</v>
      </c>
      <c r="BF143" s="331">
        <f t="shared" si="759"/>
        <v>1.7276107843058754E-2</v>
      </c>
      <c r="BG143" s="332">
        <f t="shared" si="759"/>
        <v>1.7338098279567105E-2</v>
      </c>
      <c r="BH143" s="331">
        <f t="shared" si="759"/>
        <v>1.972180939317961E-2</v>
      </c>
      <c r="BI143" s="331">
        <f t="shared" ref="BI143" si="760">+BI142/BI141</f>
        <v>2.1070498749689096E-2</v>
      </c>
      <c r="BJ143" s="331">
        <f t="shared" si="759"/>
        <v>2.180149033265642E-2</v>
      </c>
      <c r="BK143" s="331">
        <f t="shared" si="759"/>
        <v>2.2353785663341584E-2</v>
      </c>
      <c r="BL143" s="331">
        <f t="shared" ref="BL143" si="761">+BL142/BL141</f>
        <v>2.5893713102871235E-2</v>
      </c>
      <c r="BM143" s="331">
        <f t="shared" si="759"/>
        <v>2.6409268379055648E-2</v>
      </c>
      <c r="BN143" s="331">
        <f t="shared" ref="BN143:BO143" si="762">+BN142/BN141</f>
        <v>2.5923368588270712E-2</v>
      </c>
      <c r="BO143" s="331">
        <f t="shared" si="762"/>
        <v>2.5148457976214979E-2</v>
      </c>
      <c r="BP143" s="331">
        <f t="shared" si="759"/>
        <v>2.5824679352570795E-2</v>
      </c>
      <c r="BQ143" s="331">
        <f t="shared" si="759"/>
        <v>2.724901169071197E-2</v>
      </c>
      <c r="BR143" s="331">
        <f t="shared" ref="BR143:BS143" si="763">+BR142/BR141</f>
        <v>2.5689730130076846E-2</v>
      </c>
      <c r="BS143" s="331">
        <f t="shared" si="763"/>
        <v>2.5582778697562546E-2</v>
      </c>
      <c r="BT143" s="330">
        <f t="shared" si="759"/>
        <v>2.4716652987643115E-2</v>
      </c>
      <c r="BU143" s="330">
        <f t="shared" si="759"/>
        <v>2.3976964688137127E-2</v>
      </c>
      <c r="BV143" s="330">
        <f t="shared" si="759"/>
        <v>2.382952740497014E-2</v>
      </c>
      <c r="BW143" s="330">
        <f t="shared" si="759"/>
        <v>2.3668564809109338E-2</v>
      </c>
      <c r="BX143" s="330">
        <f t="shared" si="759"/>
        <v>2.3422784789675168E-2</v>
      </c>
      <c r="BY143" s="330">
        <f t="shared" si="759"/>
        <v>2.3048010825798094E-2</v>
      </c>
      <c r="BZ143" s="330">
        <f t="shared" si="759"/>
        <v>2.2714073819499605E-2</v>
      </c>
      <c r="CA143" s="330">
        <f t="shared" si="759"/>
        <v>2.2412128231149697E-2</v>
      </c>
      <c r="CB143" s="330">
        <f t="shared" si="759"/>
        <v>2.2059457671936844E-2</v>
      </c>
      <c r="CC143" s="330">
        <f t="shared" si="759"/>
        <v>2.2170198589418082E-2</v>
      </c>
      <c r="CD143" s="330">
        <f t="shared" si="759"/>
        <v>2.2212990922630779E-2</v>
      </c>
      <c r="CE143" s="330">
        <f t="shared" si="759"/>
        <v>2.2272808690760908E-2</v>
      </c>
      <c r="CF143" s="330">
        <f t="shared" si="759"/>
        <v>2.2280553140524611E-2</v>
      </c>
      <c r="CG143" s="330">
        <f t="shared" si="759"/>
        <v>2.2304882863987494E-2</v>
      </c>
      <c r="CH143" s="330">
        <f t="shared" si="759"/>
        <v>2.2340729669099453E-2</v>
      </c>
      <c r="CI143" s="330">
        <f t="shared" si="759"/>
        <v>2.2386406375807438E-2</v>
      </c>
      <c r="CJ143" s="330">
        <f t="shared" ref="CJ143:CM143" si="764">+CJ142/CJ141</f>
        <v>2.2380708252072393E-2</v>
      </c>
      <c r="CK143" s="330">
        <f t="shared" si="764"/>
        <v>2.2393208613986838E-2</v>
      </c>
      <c r="CL143" s="330">
        <f t="shared" si="764"/>
        <v>2.2431244389918611E-2</v>
      </c>
      <c r="CM143" s="330">
        <f t="shared" si="764"/>
        <v>2.244381989452688E-2</v>
      </c>
      <c r="CN143" s="330">
        <f t="shared" ref="CN143:CQ143" si="765">+CN142/CN141</f>
        <v>2.2420471788017027E-2</v>
      </c>
      <c r="CO143" s="330">
        <f t="shared" si="765"/>
        <v>2.2415710883312189E-2</v>
      </c>
      <c r="CP143" s="330">
        <f t="shared" si="765"/>
        <v>2.243327277346149E-2</v>
      </c>
      <c r="CQ143" s="330">
        <f t="shared" si="765"/>
        <v>2.2428379099707754E-2</v>
      </c>
    </row>
    <row r="144" spans="1:95" s="325" customFormat="1" ht="11.25" customHeight="1">
      <c r="A144" s="329" t="s">
        <v>290</v>
      </c>
      <c r="B144" s="346"/>
      <c r="C144" s="346">
        <f t="shared" ref="C144:S144" si="766">+C103</f>
        <v>0</v>
      </c>
      <c r="D144" s="346">
        <f t="shared" si="766"/>
        <v>0</v>
      </c>
      <c r="E144" s="346">
        <f t="shared" si="766"/>
        <v>0</v>
      </c>
      <c r="F144" s="346">
        <f t="shared" si="766"/>
        <v>0</v>
      </c>
      <c r="G144" s="346">
        <f t="shared" si="766"/>
        <v>0</v>
      </c>
      <c r="H144" s="346">
        <f t="shared" si="766"/>
        <v>0</v>
      </c>
      <c r="I144" s="346">
        <f t="shared" si="766"/>
        <v>1024.0854427472</v>
      </c>
      <c r="J144" s="346">
        <f t="shared" si="766"/>
        <v>1083.00607025574</v>
      </c>
      <c r="K144" s="346">
        <f t="shared" si="766"/>
        <v>1401.1329232087201</v>
      </c>
      <c r="L144" s="346">
        <f t="shared" si="766"/>
        <v>1782.5051943420001</v>
      </c>
      <c r="M144" s="346">
        <f t="shared" si="766"/>
        <v>2263.6485837341997</v>
      </c>
      <c r="N144" s="346">
        <f t="shared" si="766"/>
        <v>3308.22</v>
      </c>
      <c r="O144" s="346">
        <f t="shared" si="766"/>
        <v>3840.337</v>
      </c>
      <c r="P144" s="345">
        <f t="shared" si="766"/>
        <v>3911.1861487936249</v>
      </c>
      <c r="Q144" s="345">
        <f t="shared" si="766"/>
        <v>3945.3013278078297</v>
      </c>
      <c r="R144" s="345">
        <f t="shared" si="766"/>
        <v>4434.3813089985515</v>
      </c>
      <c r="S144" s="345">
        <f t="shared" si="766"/>
        <v>5129.5962744495664</v>
      </c>
      <c r="T144" s="345">
        <f t="shared" ref="T144:U144" si="767">+T103</f>
        <v>5851.6006066378568</v>
      </c>
      <c r="U144" s="345">
        <f t="shared" si="767"/>
        <v>6590.7661289841544</v>
      </c>
      <c r="V144" s="323"/>
      <c r="W144" s="329" t="s">
        <v>290</v>
      </c>
      <c r="X144" s="346">
        <f t="shared" ref="X144:BC144" si="768">+X103</f>
        <v>0</v>
      </c>
      <c r="Y144" s="346">
        <f t="shared" si="768"/>
        <v>0</v>
      </c>
      <c r="Z144" s="346">
        <f t="shared" si="768"/>
        <v>0</v>
      </c>
      <c r="AA144" s="346">
        <f t="shared" si="768"/>
        <v>0</v>
      </c>
      <c r="AB144" s="346">
        <f t="shared" si="768"/>
        <v>0</v>
      </c>
      <c r="AC144" s="346">
        <f t="shared" si="768"/>
        <v>0</v>
      </c>
      <c r="AD144" s="346">
        <f t="shared" si="768"/>
        <v>0</v>
      </c>
      <c r="AE144" s="346">
        <f t="shared" si="768"/>
        <v>0</v>
      </c>
      <c r="AF144" s="346">
        <f t="shared" si="768"/>
        <v>0</v>
      </c>
      <c r="AG144" s="346">
        <f t="shared" si="768"/>
        <v>0</v>
      </c>
      <c r="AH144" s="346">
        <f t="shared" si="768"/>
        <v>0</v>
      </c>
      <c r="AI144" s="346">
        <f t="shared" si="768"/>
        <v>0</v>
      </c>
      <c r="AJ144" s="346">
        <f t="shared" si="768"/>
        <v>0</v>
      </c>
      <c r="AK144" s="346">
        <f t="shared" si="768"/>
        <v>0</v>
      </c>
      <c r="AL144" s="346">
        <f t="shared" si="768"/>
        <v>0</v>
      </c>
      <c r="AM144" s="346">
        <f t="shared" si="768"/>
        <v>0</v>
      </c>
      <c r="AN144" s="346">
        <f t="shared" si="768"/>
        <v>0</v>
      </c>
      <c r="AO144" s="346">
        <f t="shared" si="768"/>
        <v>0</v>
      </c>
      <c r="AP144" s="346">
        <f t="shared" si="768"/>
        <v>0</v>
      </c>
      <c r="AQ144" s="346">
        <f t="shared" si="768"/>
        <v>0</v>
      </c>
      <c r="AR144" s="346">
        <f t="shared" si="768"/>
        <v>759.48433853481015</v>
      </c>
      <c r="AS144" s="346">
        <f t="shared" si="768"/>
        <v>851.98376669280015</v>
      </c>
      <c r="AT144" s="346">
        <f t="shared" si="768"/>
        <v>917.38194118871991</v>
      </c>
      <c r="AU144" s="346">
        <f t="shared" si="768"/>
        <v>1024.0854427472</v>
      </c>
      <c r="AV144" s="346">
        <f t="shared" si="768"/>
        <v>1083.00607025574</v>
      </c>
      <c r="AW144" s="346">
        <f t="shared" si="768"/>
        <v>1093.8815999254798</v>
      </c>
      <c r="AX144" s="346">
        <f t="shared" si="768"/>
        <v>1147.5082723836301</v>
      </c>
      <c r="AY144" s="346">
        <f t="shared" si="768"/>
        <v>1167.7105730707999</v>
      </c>
      <c r="AZ144" s="346">
        <f t="shared" si="768"/>
        <v>1217.5211114931599</v>
      </c>
      <c r="BA144" s="346">
        <f t="shared" si="768"/>
        <v>1293.2395348191601</v>
      </c>
      <c r="BB144" s="346">
        <f t="shared" si="768"/>
        <v>1339.8097944088001</v>
      </c>
      <c r="BC144" s="346">
        <f t="shared" si="768"/>
        <v>1401.1329232087201</v>
      </c>
      <c r="BD144" s="346">
        <f t="shared" ref="BD144:CI144" si="769">+BD103</f>
        <v>1504.3434343602</v>
      </c>
      <c r="BE144" s="346">
        <f t="shared" si="769"/>
        <v>1672.3628494049597</v>
      </c>
      <c r="BF144" s="346">
        <f t="shared" si="769"/>
        <v>1742.1722409302404</v>
      </c>
      <c r="BG144" s="347">
        <f t="shared" si="769"/>
        <v>1782.5051943420001</v>
      </c>
      <c r="BH144" s="346">
        <f t="shared" si="769"/>
        <v>1912.1832125431797</v>
      </c>
      <c r="BI144" s="346">
        <f t="shared" ref="BI144" si="770">+BI103</f>
        <v>2095.5458473479403</v>
      </c>
      <c r="BJ144" s="346">
        <f t="shared" si="769"/>
        <v>2210.7454455673601</v>
      </c>
      <c r="BK144" s="346">
        <f t="shared" si="769"/>
        <v>2263.6485837341997</v>
      </c>
      <c r="BL144" s="346">
        <f t="shared" ref="BL144" si="771">+BL103</f>
        <v>2946.7979999999998</v>
      </c>
      <c r="BM144" s="346">
        <f t="shared" si="769"/>
        <v>3072.2440000000001</v>
      </c>
      <c r="BN144" s="346">
        <f t="shared" ref="BN144:BO144" si="772">+BN103</f>
        <v>3168.154</v>
      </c>
      <c r="BO144" s="346">
        <f t="shared" si="772"/>
        <v>3308.22</v>
      </c>
      <c r="BP144" s="346">
        <f t="shared" si="769"/>
        <v>3466.3409999999999</v>
      </c>
      <c r="BQ144" s="346">
        <f t="shared" si="769"/>
        <v>3622.6320000000001</v>
      </c>
      <c r="BR144" s="346">
        <f t="shared" ref="BR144:BS144" si="773">+BR103</f>
        <v>3674.654</v>
      </c>
      <c r="BS144" s="346">
        <f t="shared" si="773"/>
        <v>3840.337</v>
      </c>
      <c r="BT144" s="345">
        <f t="shared" si="769"/>
        <v>3876.6581487026956</v>
      </c>
      <c r="BU144" s="345">
        <f t="shared" si="769"/>
        <v>3906.1519895430069</v>
      </c>
      <c r="BV144" s="345">
        <f t="shared" si="769"/>
        <v>3914.1550236961598</v>
      </c>
      <c r="BW144" s="345">
        <f t="shared" si="769"/>
        <v>3911.1861487936249</v>
      </c>
      <c r="BX144" s="345">
        <f t="shared" si="769"/>
        <v>3895.971240943441</v>
      </c>
      <c r="BY144" s="345">
        <f t="shared" si="769"/>
        <v>3880.1565298614009</v>
      </c>
      <c r="BZ144" s="345">
        <f t="shared" si="769"/>
        <v>3886.5033029057304</v>
      </c>
      <c r="CA144" s="345">
        <f t="shared" si="769"/>
        <v>3945.3013278078297</v>
      </c>
      <c r="CB144" s="345">
        <f t="shared" si="769"/>
        <v>4031.9213617320256</v>
      </c>
      <c r="CC144" s="345">
        <f t="shared" si="769"/>
        <v>4148.1333555053097</v>
      </c>
      <c r="CD144" s="345">
        <f t="shared" si="769"/>
        <v>4281.0451638128452</v>
      </c>
      <c r="CE144" s="345">
        <f t="shared" si="769"/>
        <v>4434.3813089985515</v>
      </c>
      <c r="CF144" s="345">
        <f t="shared" si="769"/>
        <v>4584.025008111752</v>
      </c>
      <c r="CG144" s="345">
        <f t="shared" si="769"/>
        <v>4753.7221727694887</v>
      </c>
      <c r="CH144" s="345">
        <f t="shared" si="769"/>
        <v>4937.3189812430846</v>
      </c>
      <c r="CI144" s="345">
        <f t="shared" si="769"/>
        <v>5129.5962744495664</v>
      </c>
      <c r="CJ144" s="345">
        <f t="shared" ref="CJ144:CM144" si="774">+CJ103</f>
        <v>5309.4065087295321</v>
      </c>
      <c r="CK144" s="345">
        <f t="shared" si="774"/>
        <v>5488.4119777347487</v>
      </c>
      <c r="CL144" s="345">
        <f t="shared" si="774"/>
        <v>5664.6326787155267</v>
      </c>
      <c r="CM144" s="345">
        <f t="shared" si="774"/>
        <v>5851.6006066378568</v>
      </c>
      <c r="CN144" s="345">
        <f t="shared" ref="CN144:CQ144" si="775">+CN103</f>
        <v>6020.9630189430854</v>
      </c>
      <c r="CO144" s="345">
        <f t="shared" si="775"/>
        <v>6197.4851555056011</v>
      </c>
      <c r="CP144" s="345">
        <f t="shared" si="775"/>
        <v>6388.7414129616727</v>
      </c>
      <c r="CQ144" s="345">
        <f t="shared" si="775"/>
        <v>6590.7661289841544</v>
      </c>
    </row>
    <row r="145" spans="1:95" s="325" customFormat="1" ht="11.25" customHeight="1">
      <c r="A145" s="329" t="s">
        <v>289</v>
      </c>
      <c r="B145" s="331"/>
      <c r="C145" s="331" t="e">
        <f t="shared" ref="C145:S145" si="776">C144/C141</f>
        <v>#DIV/0!</v>
      </c>
      <c r="D145" s="331" t="e">
        <f t="shared" si="776"/>
        <v>#DIV/0!</v>
      </c>
      <c r="E145" s="331" t="e">
        <f t="shared" si="776"/>
        <v>#DIV/0!</v>
      </c>
      <c r="F145" s="331" t="e">
        <f t="shared" si="776"/>
        <v>#DIV/0!</v>
      </c>
      <c r="G145" s="331" t="e">
        <f t="shared" si="776"/>
        <v>#DIV/0!</v>
      </c>
      <c r="H145" s="331" t="e">
        <f t="shared" si="776"/>
        <v>#DIV/0!</v>
      </c>
      <c r="I145" s="331">
        <f t="shared" si="776"/>
        <v>3.0561218082193402E-2</v>
      </c>
      <c r="J145" s="331">
        <f t="shared" si="776"/>
        <v>2.6786564866035336E-2</v>
      </c>
      <c r="K145" s="331">
        <f t="shared" si="776"/>
        <v>2.979504817893391E-2</v>
      </c>
      <c r="L145" s="331">
        <f t="shared" si="776"/>
        <v>3.2548179795102848E-2</v>
      </c>
      <c r="M145" s="331">
        <f t="shared" si="776"/>
        <v>3.52076416480855E-2</v>
      </c>
      <c r="N145" s="331">
        <f t="shared" si="776"/>
        <v>4.14097152748178E-2</v>
      </c>
      <c r="O145" s="331">
        <f t="shared" si="776"/>
        <v>4.2515230990387655E-2</v>
      </c>
      <c r="P145" s="330">
        <f t="shared" si="776"/>
        <v>3.8593199591766769E-2</v>
      </c>
      <c r="Q145" s="330">
        <f t="shared" si="776"/>
        <v>3.4384850648465796E-2</v>
      </c>
      <c r="R145" s="330">
        <f t="shared" si="776"/>
        <v>3.4288747862917614E-2</v>
      </c>
      <c r="S145" s="330">
        <f t="shared" si="776"/>
        <v>3.5125511629725971E-2</v>
      </c>
      <c r="T145" s="330">
        <f t="shared" ref="T145:U145" si="777">T144/T141</f>
        <v>3.5309076210524148E-2</v>
      </c>
      <c r="U145" s="330">
        <f t="shared" si="777"/>
        <v>3.4906763841437385E-2</v>
      </c>
      <c r="V145" s="323"/>
      <c r="W145" s="329" t="s">
        <v>289</v>
      </c>
      <c r="X145" s="331" t="e">
        <f t="shared" ref="X145:BC145" si="778">X144/X141</f>
        <v>#DIV/0!</v>
      </c>
      <c r="Y145" s="331" t="e">
        <f t="shared" si="778"/>
        <v>#DIV/0!</v>
      </c>
      <c r="Z145" s="331" t="e">
        <f t="shared" si="778"/>
        <v>#DIV/0!</v>
      </c>
      <c r="AA145" s="331" t="e">
        <f t="shared" si="778"/>
        <v>#DIV/0!</v>
      </c>
      <c r="AB145" s="331" t="e">
        <f t="shared" si="778"/>
        <v>#DIV/0!</v>
      </c>
      <c r="AC145" s="331" t="e">
        <f t="shared" si="778"/>
        <v>#DIV/0!</v>
      </c>
      <c r="AD145" s="331" t="e">
        <f t="shared" si="778"/>
        <v>#DIV/0!</v>
      </c>
      <c r="AE145" s="331" t="e">
        <f t="shared" si="778"/>
        <v>#DIV/0!</v>
      </c>
      <c r="AF145" s="331" t="e">
        <f t="shared" si="778"/>
        <v>#DIV/0!</v>
      </c>
      <c r="AG145" s="331" t="e">
        <f t="shared" si="778"/>
        <v>#DIV/0!</v>
      </c>
      <c r="AH145" s="331" t="e">
        <f t="shared" si="778"/>
        <v>#DIV/0!</v>
      </c>
      <c r="AI145" s="331" t="e">
        <f t="shared" si="778"/>
        <v>#DIV/0!</v>
      </c>
      <c r="AJ145" s="331" t="e">
        <f t="shared" si="778"/>
        <v>#DIV/0!</v>
      </c>
      <c r="AK145" s="331" t="e">
        <f t="shared" si="778"/>
        <v>#DIV/0!</v>
      </c>
      <c r="AL145" s="331" t="e">
        <f t="shared" si="778"/>
        <v>#DIV/0!</v>
      </c>
      <c r="AM145" s="331" t="e">
        <f t="shared" si="778"/>
        <v>#DIV/0!</v>
      </c>
      <c r="AN145" s="331" t="e">
        <f t="shared" si="778"/>
        <v>#DIV/0!</v>
      </c>
      <c r="AO145" s="331" t="e">
        <f t="shared" si="778"/>
        <v>#DIV/0!</v>
      </c>
      <c r="AP145" s="331" t="e">
        <f t="shared" si="778"/>
        <v>#DIV/0!</v>
      </c>
      <c r="AQ145" s="331" t="e">
        <f t="shared" si="778"/>
        <v>#DIV/0!</v>
      </c>
      <c r="AR145" s="331">
        <f t="shared" si="778"/>
        <v>2.374237440583226E-2</v>
      </c>
      <c r="AS145" s="331">
        <f t="shared" si="778"/>
        <v>2.6693644147853243E-2</v>
      </c>
      <c r="AT145" s="331">
        <f t="shared" si="778"/>
        <v>2.9796705537845997E-2</v>
      </c>
      <c r="AU145" s="331">
        <f t="shared" si="778"/>
        <v>3.0561218082193402E-2</v>
      </c>
      <c r="AV145" s="331">
        <f t="shared" si="778"/>
        <v>3.1972696518144848E-2</v>
      </c>
      <c r="AW145" s="331">
        <f t="shared" si="778"/>
        <v>3.0484327286277615E-2</v>
      </c>
      <c r="AX145" s="331">
        <f t="shared" si="778"/>
        <v>3.0705354339049761E-2</v>
      </c>
      <c r="AY145" s="331">
        <f t="shared" si="778"/>
        <v>2.8881606363415944E-2</v>
      </c>
      <c r="AZ145" s="331">
        <f t="shared" si="778"/>
        <v>2.9584101414318581E-2</v>
      </c>
      <c r="BA145" s="331">
        <f t="shared" si="778"/>
        <v>2.9042136286097808E-2</v>
      </c>
      <c r="BB145" s="331">
        <f t="shared" si="778"/>
        <v>2.9458851360800311E-2</v>
      </c>
      <c r="BC145" s="331">
        <f t="shared" si="778"/>
        <v>2.979504817893391E-2</v>
      </c>
      <c r="BD145" s="331">
        <f t="shared" ref="BD145:CI145" si="779">BD144/BD141</f>
        <v>3.117287296706504E-2</v>
      </c>
      <c r="BE145" s="331">
        <f t="shared" si="779"/>
        <v>3.255571177949209E-2</v>
      </c>
      <c r="BF145" s="331">
        <f t="shared" si="779"/>
        <v>3.3054005165646272E-2</v>
      </c>
      <c r="BG145" s="332">
        <f t="shared" si="779"/>
        <v>3.2548179795102848E-2</v>
      </c>
      <c r="BH145" s="331">
        <f t="shared" si="779"/>
        <v>3.4076742518380131E-2</v>
      </c>
      <c r="BI145" s="331">
        <f t="shared" ref="BI145" si="780">BI144/BI141</f>
        <v>3.5276085904131865E-2</v>
      </c>
      <c r="BJ145" s="331">
        <f t="shared" si="779"/>
        <v>3.545237013721831E-2</v>
      </c>
      <c r="BK145" s="331">
        <f t="shared" si="779"/>
        <v>3.52076416480855E-2</v>
      </c>
      <c r="BL145" s="331">
        <f t="shared" ref="BL145" si="781">BL144/BL141</f>
        <v>4.1829871602023276E-2</v>
      </c>
      <c r="BM145" s="331">
        <f t="shared" si="779"/>
        <v>4.1819192962388806E-2</v>
      </c>
      <c r="BN145" s="331">
        <f t="shared" ref="BN145:BO145" si="782">BN144/BN141</f>
        <v>4.1862191343779463E-2</v>
      </c>
      <c r="BO145" s="331">
        <f t="shared" si="782"/>
        <v>4.14097152748178E-2</v>
      </c>
      <c r="BP145" s="331">
        <f t="shared" si="779"/>
        <v>4.2468883790701045E-2</v>
      </c>
      <c r="BQ145" s="331">
        <f t="shared" si="779"/>
        <v>4.3383145548940086E-2</v>
      </c>
      <c r="BR145" s="331">
        <f t="shared" ref="BR145:BS145" si="783">BR144/BR141</f>
        <v>4.1832211650166908E-2</v>
      </c>
      <c r="BS145" s="331">
        <f t="shared" si="783"/>
        <v>4.2515230990387655E-2</v>
      </c>
      <c r="BT145" s="330">
        <f t="shared" si="779"/>
        <v>3.9987029099382405E-2</v>
      </c>
      <c r="BU145" s="330">
        <f t="shared" si="779"/>
        <v>4.0874970611028405E-2</v>
      </c>
      <c r="BV145" s="330">
        <f t="shared" si="779"/>
        <v>3.8359628612948511E-2</v>
      </c>
      <c r="BW145" s="330">
        <f t="shared" si="779"/>
        <v>3.8593199591766769E-2</v>
      </c>
      <c r="BX145" s="330">
        <f t="shared" si="779"/>
        <v>3.6114135975678377E-2</v>
      </c>
      <c r="BY145" s="330">
        <f t="shared" si="779"/>
        <v>3.594226289794572E-2</v>
      </c>
      <c r="BZ145" s="330">
        <f t="shared" si="779"/>
        <v>3.3907423685413468E-2</v>
      </c>
      <c r="CA145" s="330">
        <f t="shared" si="779"/>
        <v>3.4384850648465796E-2</v>
      </c>
      <c r="CB145" s="330">
        <f t="shared" si="779"/>
        <v>3.3294307560987675E-2</v>
      </c>
      <c r="CC145" s="330">
        <f t="shared" si="779"/>
        <v>3.4030990874361303E-2</v>
      </c>
      <c r="CD145" s="330">
        <f t="shared" si="779"/>
        <v>3.3340925762019614E-2</v>
      </c>
      <c r="CE145" s="330">
        <f t="shared" si="779"/>
        <v>3.4288747862917614E-2</v>
      </c>
      <c r="CF145" s="330">
        <f t="shared" si="779"/>
        <v>3.3775557642983373E-2</v>
      </c>
      <c r="CG145" s="330">
        <f t="shared" si="779"/>
        <v>3.4568339466930754E-2</v>
      </c>
      <c r="CH145" s="330">
        <f t="shared" si="779"/>
        <v>3.4283836346865285E-2</v>
      </c>
      <c r="CI145" s="330">
        <f t="shared" si="779"/>
        <v>3.5125511629725971E-2</v>
      </c>
      <c r="CJ145" s="330">
        <f t="shared" ref="CJ145:CM145" si="784">CJ144/CJ141</f>
        <v>3.4845927907769671E-2</v>
      </c>
      <c r="CK145" s="330">
        <f t="shared" si="784"/>
        <v>3.5308726318703257E-2</v>
      </c>
      <c r="CL145" s="330">
        <f t="shared" si="784"/>
        <v>3.502905179256436E-2</v>
      </c>
      <c r="CM145" s="330">
        <f t="shared" si="784"/>
        <v>3.5309076210524148E-2</v>
      </c>
      <c r="CN145" s="330">
        <f t="shared" ref="CN145:CQ145" si="785">CN144/CN141</f>
        <v>3.5099414165787803E-2</v>
      </c>
      <c r="CO145" s="330">
        <f t="shared" si="785"/>
        <v>3.5057536798590749E-2</v>
      </c>
      <c r="CP145" s="330">
        <f t="shared" si="785"/>
        <v>3.4992543203697428E-2</v>
      </c>
      <c r="CQ145" s="330">
        <f t="shared" si="785"/>
        <v>3.4906763841437385E-2</v>
      </c>
    </row>
    <row r="146" spans="1:95" s="325" customFormat="1" ht="11.25" customHeight="1">
      <c r="A146" s="329" t="s">
        <v>288</v>
      </c>
      <c r="B146" s="331"/>
      <c r="C146" s="331" t="e">
        <f t="shared" ref="C146:S146" si="786">+C144/C142</f>
        <v>#DIV/0!</v>
      </c>
      <c r="D146" s="331" t="e">
        <f t="shared" si="786"/>
        <v>#DIV/0!</v>
      </c>
      <c r="E146" s="331" t="e">
        <f t="shared" si="786"/>
        <v>#DIV/0!</v>
      </c>
      <c r="F146" s="331" t="e">
        <f t="shared" si="786"/>
        <v>#DIV/0!</v>
      </c>
      <c r="G146" s="331" t="e">
        <f t="shared" si="786"/>
        <v>#DIV/0!</v>
      </c>
      <c r="H146" s="331" t="e">
        <f t="shared" si="786"/>
        <v>#DIV/0!</v>
      </c>
      <c r="I146" s="331">
        <f t="shared" si="786"/>
        <v>1.9203868978809326</v>
      </c>
      <c r="J146" s="331">
        <f t="shared" si="786"/>
        <v>1.838148379013451</v>
      </c>
      <c r="K146" s="331">
        <f t="shared" si="786"/>
        <v>2.0054648279589578</v>
      </c>
      <c r="L146" s="331">
        <f t="shared" si="786"/>
        <v>1.8772635424186501</v>
      </c>
      <c r="M146" s="331">
        <f t="shared" si="786"/>
        <v>1.5750192015942608</v>
      </c>
      <c r="N146" s="331">
        <f t="shared" si="786"/>
        <v>1.6466105124211776</v>
      </c>
      <c r="O146" s="331">
        <f t="shared" si="786"/>
        <v>1.6618691617904031</v>
      </c>
      <c r="P146" s="330">
        <f t="shared" si="786"/>
        <v>1.6305677975418846</v>
      </c>
      <c r="Q146" s="330">
        <f t="shared" si="786"/>
        <v>1.5342072958816872</v>
      </c>
      <c r="R146" s="330">
        <f t="shared" si="786"/>
        <v>1.5394891744004022</v>
      </c>
      <c r="S146" s="330">
        <f t="shared" si="786"/>
        <v>1.5690553919223698</v>
      </c>
      <c r="T146" s="330">
        <f t="shared" ref="T146:U146" si="787">+T144/T142</f>
        <v>1.5732204400345673</v>
      </c>
      <c r="U146" s="330">
        <f t="shared" si="787"/>
        <v>1.5563658740676549</v>
      </c>
      <c r="V146" s="323"/>
      <c r="W146" s="329" t="s">
        <v>288</v>
      </c>
      <c r="X146" s="331" t="e">
        <f t="shared" ref="X146:BC146" si="788">+X144/X142</f>
        <v>#DIV/0!</v>
      </c>
      <c r="Y146" s="331" t="e">
        <f t="shared" si="788"/>
        <v>#DIV/0!</v>
      </c>
      <c r="Z146" s="331" t="e">
        <f t="shared" si="788"/>
        <v>#DIV/0!</v>
      </c>
      <c r="AA146" s="331" t="e">
        <f t="shared" si="788"/>
        <v>#DIV/0!</v>
      </c>
      <c r="AB146" s="331" t="e">
        <f t="shared" si="788"/>
        <v>#DIV/0!</v>
      </c>
      <c r="AC146" s="331" t="e">
        <f t="shared" si="788"/>
        <v>#DIV/0!</v>
      </c>
      <c r="AD146" s="331" t="e">
        <f t="shared" si="788"/>
        <v>#DIV/0!</v>
      </c>
      <c r="AE146" s="331" t="e">
        <f t="shared" si="788"/>
        <v>#DIV/0!</v>
      </c>
      <c r="AF146" s="331" t="e">
        <f t="shared" si="788"/>
        <v>#DIV/0!</v>
      </c>
      <c r="AG146" s="331" t="e">
        <f t="shared" si="788"/>
        <v>#DIV/0!</v>
      </c>
      <c r="AH146" s="331" t="e">
        <f t="shared" si="788"/>
        <v>#DIV/0!</v>
      </c>
      <c r="AI146" s="331" t="e">
        <f t="shared" si="788"/>
        <v>#DIV/0!</v>
      </c>
      <c r="AJ146" s="331" t="e">
        <f t="shared" si="788"/>
        <v>#DIV/0!</v>
      </c>
      <c r="AK146" s="331" t="e">
        <f t="shared" si="788"/>
        <v>#DIV/0!</v>
      </c>
      <c r="AL146" s="331" t="e">
        <f t="shared" si="788"/>
        <v>#DIV/0!</v>
      </c>
      <c r="AM146" s="331" t="e">
        <f t="shared" si="788"/>
        <v>#DIV/0!</v>
      </c>
      <c r="AN146" s="331" t="e">
        <f t="shared" si="788"/>
        <v>#DIV/0!</v>
      </c>
      <c r="AO146" s="331" t="e">
        <f t="shared" si="788"/>
        <v>#DIV/0!</v>
      </c>
      <c r="AP146" s="331" t="e">
        <f t="shared" si="788"/>
        <v>#DIV/0!</v>
      </c>
      <c r="AQ146" s="331" t="e">
        <f t="shared" si="788"/>
        <v>#DIV/0!</v>
      </c>
      <c r="AR146" s="331">
        <f t="shared" si="788"/>
        <v>2.0535119583843993</v>
      </c>
      <c r="AS146" s="331">
        <f t="shared" si="788"/>
        <v>1.9290978984142673</v>
      </c>
      <c r="AT146" s="331">
        <f t="shared" si="788"/>
        <v>1.917400220980753</v>
      </c>
      <c r="AU146" s="331">
        <f t="shared" si="788"/>
        <v>1.9203868978809326</v>
      </c>
      <c r="AV146" s="331">
        <f t="shared" si="788"/>
        <v>1.7668855861110517</v>
      </c>
      <c r="AW146" s="331">
        <f t="shared" si="788"/>
        <v>1.7931005275192402</v>
      </c>
      <c r="AX146" s="331">
        <f t="shared" si="788"/>
        <v>1.9305430628153777</v>
      </c>
      <c r="AY146" s="331">
        <f t="shared" si="788"/>
        <v>1.9819143733332019</v>
      </c>
      <c r="AZ146" s="331">
        <f t="shared" si="788"/>
        <v>1.8946057320241629</v>
      </c>
      <c r="BA146" s="331">
        <f t="shared" si="788"/>
        <v>1.9398878692090658</v>
      </c>
      <c r="BB146" s="331">
        <f t="shared" si="788"/>
        <v>1.9124239118929105</v>
      </c>
      <c r="BC146" s="331">
        <f t="shared" si="788"/>
        <v>2.0054648279589578</v>
      </c>
      <c r="BD146" s="331">
        <f t="shared" ref="BD146:CI146" si="789">+BD144/BD142</f>
        <v>1.8796294940117371</v>
      </c>
      <c r="BE146" s="331">
        <f t="shared" si="789"/>
        <v>1.868000316014244</v>
      </c>
      <c r="BF146" s="331">
        <f t="shared" si="789"/>
        <v>1.9132784690810325</v>
      </c>
      <c r="BG146" s="332">
        <f t="shared" si="789"/>
        <v>1.8772635424186501</v>
      </c>
      <c r="BH146" s="331">
        <f t="shared" si="789"/>
        <v>1.7278710000191406</v>
      </c>
      <c r="BI146" s="331">
        <f t="shared" ref="BI146" si="790">+BI144/BI142</f>
        <v>1.6741932083905884</v>
      </c>
      <c r="BJ146" s="331">
        <f t="shared" si="789"/>
        <v>1.626144341339558</v>
      </c>
      <c r="BK146" s="331">
        <f t="shared" si="789"/>
        <v>1.5750192015942608</v>
      </c>
      <c r="BL146" s="331">
        <f t="shared" ref="BL146" si="791">+BL144/BL142</f>
        <v>1.6154450864516976</v>
      </c>
      <c r="BM146" s="331">
        <f t="shared" si="789"/>
        <v>1.5835044107300706</v>
      </c>
      <c r="BN146" s="331">
        <f t="shared" ref="BN146:BO146" si="792">+BN144/BN142</f>
        <v>1.6148438117228496</v>
      </c>
      <c r="BO146" s="331">
        <f t="shared" si="792"/>
        <v>1.6466105124211776</v>
      </c>
      <c r="BP146" s="331">
        <f t="shared" si="789"/>
        <v>1.6445076901399496</v>
      </c>
      <c r="BQ146" s="331">
        <f t="shared" si="789"/>
        <v>1.5920997811354587</v>
      </c>
      <c r="BR146" s="331">
        <f t="shared" ref="BR146:BS146" si="793">+BR144/BR142</f>
        <v>1.6283632190122104</v>
      </c>
      <c r="BS146" s="331">
        <f t="shared" si="793"/>
        <v>1.6618691617904031</v>
      </c>
      <c r="BT146" s="330">
        <f t="shared" si="789"/>
        <v>1.6178173120516595</v>
      </c>
      <c r="BU146" s="330">
        <f t="shared" si="789"/>
        <v>1.7047600120649031</v>
      </c>
      <c r="BV146" s="330">
        <f t="shared" si="789"/>
        <v>1.6097519670049276</v>
      </c>
      <c r="BW146" s="330">
        <f t="shared" si="789"/>
        <v>1.6305677975418846</v>
      </c>
      <c r="BX146" s="330">
        <f t="shared" si="789"/>
        <v>1.5418378429364896</v>
      </c>
      <c r="BY146" s="330">
        <f t="shared" si="789"/>
        <v>1.5594518403173794</v>
      </c>
      <c r="BZ146" s="330">
        <f t="shared" si="789"/>
        <v>1.4927935849316729</v>
      </c>
      <c r="CA146" s="330">
        <f t="shared" si="789"/>
        <v>1.5342072958816872</v>
      </c>
      <c r="CB146" s="330">
        <f t="shared" si="789"/>
        <v>1.5092985537601569</v>
      </c>
      <c r="CC146" s="330">
        <f t="shared" si="789"/>
        <v>1.5349880939092904</v>
      </c>
      <c r="CD146" s="330">
        <f t="shared" si="789"/>
        <v>1.5009651729543367</v>
      </c>
      <c r="CE146" s="330">
        <f t="shared" si="789"/>
        <v>1.5394891744004022</v>
      </c>
      <c r="CF146" s="330">
        <f t="shared" si="789"/>
        <v>1.5159209661429485</v>
      </c>
      <c r="CG146" s="330">
        <f t="shared" si="789"/>
        <v>1.5498104015037579</v>
      </c>
      <c r="CH146" s="330">
        <f t="shared" si="789"/>
        <v>1.5345889259062528</v>
      </c>
      <c r="CI146" s="330">
        <f t="shared" si="789"/>
        <v>1.5690553919223698</v>
      </c>
      <c r="CJ146" s="330">
        <f t="shared" ref="CJ146:CM146" si="794">+CJ144/CJ142</f>
        <v>1.5569626981998228</v>
      </c>
      <c r="CK146" s="330">
        <f t="shared" si="794"/>
        <v>1.5767604780249922</v>
      </c>
      <c r="CL146" s="330">
        <f t="shared" si="794"/>
        <v>1.5616187485482369</v>
      </c>
      <c r="CM146" s="330">
        <f t="shared" si="794"/>
        <v>1.5732204400345673</v>
      </c>
      <c r="CN146" s="330">
        <f t="shared" ref="CN146:CQ146" si="795">+CN144/CN142</f>
        <v>1.5655073852882628</v>
      </c>
      <c r="CO146" s="330">
        <f t="shared" si="795"/>
        <v>1.5639716706325835</v>
      </c>
      <c r="CP146" s="330">
        <f t="shared" si="795"/>
        <v>1.5598501189310874</v>
      </c>
      <c r="CQ146" s="330">
        <f t="shared" si="795"/>
        <v>1.5563658740676549</v>
      </c>
    </row>
    <row r="147" spans="1:95" s="325" customFormat="1" ht="11.25" customHeight="1">
      <c r="A147" s="329" t="s">
        <v>287</v>
      </c>
      <c r="B147" s="331"/>
      <c r="C147" s="331" t="e">
        <f t="shared" ref="C147:S147" si="796">C142/C111</f>
        <v>#DIV/0!</v>
      </c>
      <c r="D147" s="331" t="e">
        <f t="shared" si="796"/>
        <v>#DIV/0!</v>
      </c>
      <c r="E147" s="331" t="e">
        <f t="shared" si="796"/>
        <v>#DIV/0!</v>
      </c>
      <c r="F147" s="331" t="e">
        <f t="shared" si="796"/>
        <v>#DIV/0!</v>
      </c>
      <c r="G147" s="331" t="e">
        <f t="shared" si="796"/>
        <v>#DIV/0!</v>
      </c>
      <c r="H147" s="331" t="e">
        <f t="shared" si="796"/>
        <v>#DIV/0!</v>
      </c>
      <c r="I147" s="331">
        <f t="shared" si="796"/>
        <v>7.9859670903569907E-2</v>
      </c>
      <c r="J147" s="331">
        <f t="shared" si="796"/>
        <v>7.4646412155470132E-2</v>
      </c>
      <c r="K147" s="331">
        <f t="shared" si="796"/>
        <v>7.6767101503330354E-2</v>
      </c>
      <c r="L147" s="331">
        <f t="shared" si="796"/>
        <v>8.9338984638157842E-2</v>
      </c>
      <c r="M147" s="331">
        <f t="shared" si="796"/>
        <v>0.12147388021934935</v>
      </c>
      <c r="N147" s="331">
        <f t="shared" si="796"/>
        <v>0.14371869289611075</v>
      </c>
      <c r="O147" s="331">
        <f t="shared" si="796"/>
        <v>0.14328198479478099</v>
      </c>
      <c r="P147" s="330">
        <f t="shared" ca="1" si="796"/>
        <v>0.12709286652343599</v>
      </c>
      <c r="Q147" s="330">
        <f t="shared" ca="1" si="796"/>
        <v>0.11601599510091606</v>
      </c>
      <c r="R147" s="330">
        <f t="shared" ca="1" si="796"/>
        <v>0.11046944569883993</v>
      </c>
      <c r="S147" s="330">
        <f t="shared" ca="1" si="796"/>
        <v>0.10707244198903178</v>
      </c>
      <c r="T147" s="330">
        <f t="shared" ref="T147:U147" ca="1" si="797">T142/T111</f>
        <v>0.10412751639320576</v>
      </c>
      <c r="U147" s="330">
        <f t="shared" ca="1" si="797"/>
        <v>0.10142939894347555</v>
      </c>
      <c r="V147" s="323"/>
      <c r="W147" s="329" t="s">
        <v>287</v>
      </c>
      <c r="X147" s="331" t="e">
        <f t="shared" ref="X147:BC147" si="798">X142/X111</f>
        <v>#DIV/0!</v>
      </c>
      <c r="Y147" s="331" t="e">
        <f t="shared" si="798"/>
        <v>#DIV/0!</v>
      </c>
      <c r="Z147" s="331" t="e">
        <f t="shared" si="798"/>
        <v>#DIV/0!</v>
      </c>
      <c r="AA147" s="331" t="e">
        <f t="shared" si="798"/>
        <v>#DIV/0!</v>
      </c>
      <c r="AB147" s="331" t="e">
        <f t="shared" si="798"/>
        <v>#DIV/0!</v>
      </c>
      <c r="AC147" s="331" t="e">
        <f t="shared" si="798"/>
        <v>#DIV/0!</v>
      </c>
      <c r="AD147" s="331" t="e">
        <f t="shared" si="798"/>
        <v>#DIV/0!</v>
      </c>
      <c r="AE147" s="331" t="e">
        <f t="shared" si="798"/>
        <v>#DIV/0!</v>
      </c>
      <c r="AF147" s="331" t="e">
        <f t="shared" si="798"/>
        <v>#DIV/0!</v>
      </c>
      <c r="AG147" s="331" t="e">
        <f t="shared" si="798"/>
        <v>#DIV/0!</v>
      </c>
      <c r="AH147" s="331" t="e">
        <f t="shared" si="798"/>
        <v>#DIV/0!</v>
      </c>
      <c r="AI147" s="331" t="e">
        <f t="shared" si="798"/>
        <v>#DIV/0!</v>
      </c>
      <c r="AJ147" s="331" t="e">
        <f t="shared" si="798"/>
        <v>#DIV/0!</v>
      </c>
      <c r="AK147" s="331" t="e">
        <f t="shared" si="798"/>
        <v>#DIV/0!</v>
      </c>
      <c r="AL147" s="331" t="e">
        <f t="shared" si="798"/>
        <v>#DIV/0!</v>
      </c>
      <c r="AM147" s="331" t="e">
        <f t="shared" si="798"/>
        <v>#DIV/0!</v>
      </c>
      <c r="AN147" s="331" t="e">
        <f t="shared" si="798"/>
        <v>#DIV/0!</v>
      </c>
      <c r="AO147" s="331" t="e">
        <f t="shared" si="798"/>
        <v>#DIV/0!</v>
      </c>
      <c r="AP147" s="331" t="e">
        <f t="shared" si="798"/>
        <v>#DIV/0!</v>
      </c>
      <c r="AQ147" s="331" t="e">
        <f t="shared" si="798"/>
        <v>#DIV/0!</v>
      </c>
      <c r="AR147" s="331">
        <f t="shared" si="798"/>
        <v>7.0141736401823113E-2</v>
      </c>
      <c r="AS147" s="331">
        <f t="shared" si="798"/>
        <v>7.5915863793886373E-2</v>
      </c>
      <c r="AT147" s="331">
        <f t="shared" si="798"/>
        <v>7.7882837293822213E-2</v>
      </c>
      <c r="AU147" s="331">
        <f t="shared" si="798"/>
        <v>7.9859670903569907E-2</v>
      </c>
      <c r="AV147" s="331">
        <f t="shared" si="798"/>
        <v>9.443915590664223E-2</v>
      </c>
      <c r="AW147" s="331">
        <f t="shared" si="798"/>
        <v>8.8723716591671289E-2</v>
      </c>
      <c r="AX147" s="331">
        <f t="shared" si="798"/>
        <v>7.930448268129893E-2</v>
      </c>
      <c r="AY147" s="331">
        <f t="shared" si="798"/>
        <v>7.4646412155470132E-2</v>
      </c>
      <c r="AZ147" s="331">
        <f t="shared" si="798"/>
        <v>8.1833305418332572E-2</v>
      </c>
      <c r="BA147" s="331">
        <f t="shared" si="798"/>
        <v>8.1764371869198021E-2</v>
      </c>
      <c r="BB147" s="331">
        <f t="shared" si="798"/>
        <v>8.1688386791682541E-2</v>
      </c>
      <c r="BC147" s="331">
        <f t="shared" si="798"/>
        <v>7.6767101503330354E-2</v>
      </c>
      <c r="BD147" s="331">
        <f t="shared" ref="BD147:CI147" si="799">BD142/BD111</f>
        <v>8.5893355417551748E-2</v>
      </c>
      <c r="BE147" s="331">
        <f t="shared" si="799"/>
        <v>9.1202457458592054E-2</v>
      </c>
      <c r="BF147" s="331">
        <f t="shared" si="799"/>
        <v>8.7454769966474541E-2</v>
      </c>
      <c r="BG147" s="332">
        <f t="shared" si="799"/>
        <v>8.9338984638157842E-2</v>
      </c>
      <c r="BH147" s="331">
        <f t="shared" si="799"/>
        <v>0.10374557273788879</v>
      </c>
      <c r="BI147" s="331">
        <f t="shared" ref="BI147" si="800">BI142/BI111</f>
        <v>0.11580550393715561</v>
      </c>
      <c r="BJ147" s="331">
        <f t="shared" si="799"/>
        <v>0.11948356816478066</v>
      </c>
      <c r="BK147" s="331">
        <f t="shared" si="799"/>
        <v>0.12147388021934935</v>
      </c>
      <c r="BL147" s="331">
        <f t="shared" ref="BL147" si="801">BL142/BL111</f>
        <v>0.15254672430215649</v>
      </c>
      <c r="BM147" s="331">
        <f t="shared" si="799"/>
        <v>0.15148740943494401</v>
      </c>
      <c r="BN147" s="331">
        <f t="shared" ref="BN147:BO147" si="802">BN142/BN111</f>
        <v>0.14625671245770575</v>
      </c>
      <c r="BO147" s="331">
        <f t="shared" si="802"/>
        <v>0.14371869289611075</v>
      </c>
      <c r="BP147" s="331">
        <f t="shared" si="799"/>
        <v>0.1483599789435617</v>
      </c>
      <c r="BQ147" s="331">
        <f t="shared" si="799"/>
        <v>0.15370335181496048</v>
      </c>
      <c r="BR147" s="331">
        <f t="shared" ref="BR147:BS147" si="803">BR142/BR111</f>
        <v>0.14892215875509759</v>
      </c>
      <c r="BS147" s="331">
        <f t="shared" si="803"/>
        <v>0.14328198479478099</v>
      </c>
      <c r="BT147" s="330">
        <f t="shared" ca="1" si="799"/>
        <v>0.1481122529045987</v>
      </c>
      <c r="BU147" s="330">
        <f t="shared" ca="1" si="799"/>
        <v>0.13454698499197201</v>
      </c>
      <c r="BV147" s="330">
        <f t="shared" ca="1" si="799"/>
        <v>0.1355477495587378</v>
      </c>
      <c r="BW147" s="330">
        <f t="shared" ca="1" si="799"/>
        <v>0.12709286652343599</v>
      </c>
      <c r="BX147" s="330">
        <f t="shared" ca="1" si="799"/>
        <v>0.13301118994488934</v>
      </c>
      <c r="BY147" s="330">
        <f t="shared" ca="1" si="799"/>
        <v>0.12420540044551805</v>
      </c>
      <c r="BZ147" s="330">
        <f t="shared" ca="1" si="799"/>
        <v>0.12344730707528682</v>
      </c>
      <c r="CA147" s="330">
        <f t="shared" ca="1" si="799"/>
        <v>0.11601599510091606</v>
      </c>
      <c r="CB147" s="330">
        <f t="shared" ca="1" si="799"/>
        <v>0.11988049919033757</v>
      </c>
      <c r="CC147" s="330">
        <f t="shared" ca="1" si="799"/>
        <v>0.11496759407001185</v>
      </c>
      <c r="CD147" s="330">
        <f t="shared" ca="1" si="799"/>
        <v>0.11513805832275034</v>
      </c>
      <c r="CE147" s="330">
        <f t="shared" ca="1" si="799"/>
        <v>0.11046944569883993</v>
      </c>
      <c r="CF147" s="330">
        <f t="shared" ca="1" si="799"/>
        <v>0.11533698689063505</v>
      </c>
      <c r="CG147" s="330">
        <f t="shared" ca="1" si="799"/>
        <v>0.11101492036312834</v>
      </c>
      <c r="CH147" s="330">
        <f t="shared" ca="1" si="799"/>
        <v>0.11066405025630779</v>
      </c>
      <c r="CI147" s="330">
        <f t="shared" ca="1" si="799"/>
        <v>0.10707244198903178</v>
      </c>
      <c r="CJ147" s="330">
        <f t="shared" ref="CJ147:CM147" ca="1" si="804">CJ142/CJ111</f>
        <v>0.11113045748245906</v>
      </c>
      <c r="CK147" s="330">
        <f t="shared" ca="1" si="804"/>
        <v>0.10768831242893069</v>
      </c>
      <c r="CL147" s="330">
        <f t="shared" ca="1" si="804"/>
        <v>0.1066531539640425</v>
      </c>
      <c r="CM147" s="330">
        <f t="shared" ca="1" si="804"/>
        <v>0.10412751639320576</v>
      </c>
      <c r="CN147" s="330">
        <f t="shared" ref="CN147:CQ147" ca="1" si="805">CN142/CN111</f>
        <v>0.10711142961517087</v>
      </c>
      <c r="CO147" s="330">
        <f t="shared" ca="1" si="805"/>
        <v>0.10479831622339707</v>
      </c>
      <c r="CP147" s="330">
        <f t="shared" ca="1" si="805"/>
        <v>0.10299438063534198</v>
      </c>
      <c r="CQ147" s="330">
        <f t="shared" ca="1" si="805"/>
        <v>0.10142939894347555</v>
      </c>
    </row>
    <row r="148" spans="1:95" s="325" customFormat="1" ht="11.25" customHeight="1">
      <c r="A148" s="329"/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0"/>
      <c r="Q148" s="350"/>
      <c r="R148" s="350"/>
      <c r="S148" s="350"/>
      <c r="T148" s="350"/>
      <c r="U148" s="350"/>
      <c r="V148" s="323"/>
      <c r="W148" s="329"/>
      <c r="X148" s="329"/>
      <c r="Y148" s="329"/>
      <c r="Z148" s="329"/>
      <c r="AA148" s="329"/>
      <c r="AB148" s="329"/>
      <c r="AC148" s="329"/>
      <c r="AD148" s="329"/>
      <c r="AE148" s="329"/>
      <c r="AF148" s="329"/>
      <c r="AG148" s="329"/>
      <c r="AH148" s="329"/>
      <c r="AI148" s="329"/>
      <c r="AJ148" s="329"/>
      <c r="AK148" s="329"/>
      <c r="AL148" s="329"/>
      <c r="AM148" s="329"/>
      <c r="AN148" s="329"/>
      <c r="AO148" s="329"/>
      <c r="AP148" s="329"/>
      <c r="AQ148" s="329"/>
      <c r="AR148" s="329"/>
      <c r="AS148" s="329"/>
      <c r="AT148" s="329"/>
      <c r="AU148" s="329"/>
      <c r="AV148" s="329"/>
      <c r="AW148" s="329"/>
      <c r="AX148" s="329"/>
      <c r="AY148" s="329"/>
      <c r="AZ148" s="329"/>
      <c r="BA148" s="329"/>
      <c r="BB148" s="329"/>
      <c r="BC148" s="329"/>
      <c r="BD148" s="329"/>
      <c r="BE148" s="329"/>
      <c r="BF148" s="329"/>
      <c r="BG148" s="349"/>
      <c r="BH148" s="329"/>
      <c r="BI148" s="329"/>
      <c r="BJ148" s="329"/>
      <c r="BK148" s="329"/>
      <c r="BL148" s="329"/>
      <c r="BM148" s="329"/>
      <c r="BN148" s="329"/>
      <c r="BO148" s="329"/>
      <c r="BP148" s="329"/>
      <c r="BQ148" s="329"/>
      <c r="BR148" s="329"/>
      <c r="BS148" s="329"/>
      <c r="BT148" s="348"/>
      <c r="BU148" s="348"/>
      <c r="BV148" s="348"/>
      <c r="BW148" s="348"/>
      <c r="BX148" s="348"/>
      <c r="BY148" s="348"/>
      <c r="BZ148" s="348"/>
      <c r="CA148" s="348"/>
      <c r="CB148" s="348"/>
      <c r="CC148" s="348"/>
      <c r="CD148" s="348"/>
      <c r="CE148" s="348"/>
      <c r="CF148" s="348"/>
      <c r="CG148" s="348"/>
      <c r="CH148" s="348"/>
      <c r="CI148" s="348"/>
      <c r="CJ148" s="348"/>
      <c r="CK148" s="348"/>
      <c r="CL148" s="348"/>
      <c r="CM148" s="348"/>
      <c r="CN148" s="348"/>
      <c r="CO148" s="348"/>
      <c r="CP148" s="348"/>
      <c r="CQ148" s="348"/>
    </row>
    <row r="149" spans="1:95" s="325" customFormat="1" ht="11.25" customHeight="1">
      <c r="A149" s="340" t="s">
        <v>286</v>
      </c>
      <c r="B149" s="346"/>
      <c r="C149" s="346">
        <f t="shared" ref="C149:U149" si="806">+B154</f>
        <v>0</v>
      </c>
      <c r="D149" s="346">
        <f t="shared" si="806"/>
        <v>0</v>
      </c>
      <c r="E149" s="346">
        <f t="shared" si="806"/>
        <v>0</v>
      </c>
      <c r="F149" s="346">
        <f t="shared" si="806"/>
        <v>0</v>
      </c>
      <c r="G149" s="346">
        <f t="shared" si="806"/>
        <v>0</v>
      </c>
      <c r="H149" s="346">
        <f t="shared" si="806"/>
        <v>0</v>
      </c>
      <c r="I149" s="346">
        <f t="shared" si="806"/>
        <v>0</v>
      </c>
      <c r="J149" s="346">
        <f t="shared" si="806"/>
        <v>533.2703758171001</v>
      </c>
      <c r="K149" s="346">
        <f t="shared" si="806"/>
        <v>589.18315986928008</v>
      </c>
      <c r="L149" s="346">
        <f t="shared" si="806"/>
        <v>698.65744024776006</v>
      </c>
      <c r="M149" s="346">
        <f t="shared" si="806"/>
        <v>949.52315115299996</v>
      </c>
      <c r="N149" s="346">
        <f t="shared" si="806"/>
        <v>1437.2196741747</v>
      </c>
      <c r="O149" s="346">
        <f t="shared" si="806"/>
        <v>2009.1089999999999</v>
      </c>
      <c r="P149" s="345">
        <f t="shared" si="806"/>
        <v>2310.8539999999998</v>
      </c>
      <c r="Q149" s="345">
        <f t="shared" si="806"/>
        <v>2398.6651488455864</v>
      </c>
      <c r="R149" s="345">
        <f t="shared" si="806"/>
        <v>2571.5568804804311</v>
      </c>
      <c r="S149" s="345">
        <f t="shared" si="806"/>
        <v>2880.4238332664127</v>
      </c>
      <c r="T149" s="345">
        <f t="shared" si="806"/>
        <v>3269.2257398031729</v>
      </c>
      <c r="U149" s="345">
        <f t="shared" si="806"/>
        <v>3719.5045638418501</v>
      </c>
      <c r="V149" s="323"/>
      <c r="W149" s="340" t="s">
        <v>286</v>
      </c>
      <c r="X149" s="346">
        <v>0</v>
      </c>
      <c r="Y149" s="346">
        <f t="shared" ref="Y149:BD149" si="807">+X154</f>
        <v>0</v>
      </c>
      <c r="Z149" s="346">
        <f t="shared" si="807"/>
        <v>0</v>
      </c>
      <c r="AA149" s="346">
        <f t="shared" si="807"/>
        <v>0</v>
      </c>
      <c r="AB149" s="346">
        <f t="shared" si="807"/>
        <v>0</v>
      </c>
      <c r="AC149" s="346">
        <f t="shared" si="807"/>
        <v>0</v>
      </c>
      <c r="AD149" s="346">
        <f t="shared" si="807"/>
        <v>0</v>
      </c>
      <c r="AE149" s="346">
        <f t="shared" si="807"/>
        <v>0</v>
      </c>
      <c r="AF149" s="346">
        <f t="shared" si="807"/>
        <v>0</v>
      </c>
      <c r="AG149" s="346">
        <f t="shared" si="807"/>
        <v>0</v>
      </c>
      <c r="AH149" s="346">
        <f t="shared" si="807"/>
        <v>0</v>
      </c>
      <c r="AI149" s="346">
        <f t="shared" si="807"/>
        <v>0</v>
      </c>
      <c r="AJ149" s="346">
        <f t="shared" si="807"/>
        <v>0</v>
      </c>
      <c r="AK149" s="346">
        <f t="shared" si="807"/>
        <v>0</v>
      </c>
      <c r="AL149" s="346">
        <f t="shared" si="807"/>
        <v>0</v>
      </c>
      <c r="AM149" s="346">
        <f t="shared" si="807"/>
        <v>0</v>
      </c>
      <c r="AN149" s="346">
        <f t="shared" si="807"/>
        <v>0</v>
      </c>
      <c r="AO149" s="346">
        <f t="shared" si="807"/>
        <v>0</v>
      </c>
      <c r="AP149" s="346">
        <f t="shared" si="807"/>
        <v>0</v>
      </c>
      <c r="AQ149" s="346">
        <f t="shared" si="807"/>
        <v>0</v>
      </c>
      <c r="AR149" s="346">
        <f t="shared" si="807"/>
        <v>0</v>
      </c>
      <c r="AS149" s="346">
        <f t="shared" si="807"/>
        <v>369.84656234110003</v>
      </c>
      <c r="AT149" s="346">
        <f t="shared" si="807"/>
        <v>441.64879729180001</v>
      </c>
      <c r="AU149" s="346">
        <f t="shared" si="807"/>
        <v>478.45094161899999</v>
      </c>
      <c r="AV149" s="346">
        <f t="shared" si="807"/>
        <v>533.2703758171001</v>
      </c>
      <c r="AW149" s="346">
        <f t="shared" si="807"/>
        <v>612.94634964986994</v>
      </c>
      <c r="AX149" s="346">
        <f t="shared" si="807"/>
        <v>610.05034750554012</v>
      </c>
      <c r="AY149" s="346">
        <f t="shared" si="807"/>
        <v>594.39662056032</v>
      </c>
      <c r="AZ149" s="346">
        <f t="shared" si="807"/>
        <v>589.18315986928008</v>
      </c>
      <c r="BA149" s="346">
        <f t="shared" si="807"/>
        <v>642.62505433907984</v>
      </c>
      <c r="BB149" s="346">
        <f t="shared" si="807"/>
        <v>666.65684926750009</v>
      </c>
      <c r="BC149" s="346">
        <f t="shared" si="807"/>
        <v>700.58201326434005</v>
      </c>
      <c r="BD149" s="346">
        <f t="shared" si="807"/>
        <v>698.65744024776006</v>
      </c>
      <c r="BE149" s="346">
        <f t="shared" ref="BE149:CI149" si="808">+BD154</f>
        <v>800.34040706045994</v>
      </c>
      <c r="BF149" s="346">
        <f t="shared" si="808"/>
        <v>895.2690398753698</v>
      </c>
      <c r="BG149" s="347">
        <f t="shared" si="808"/>
        <v>910.56909335682008</v>
      </c>
      <c r="BH149" s="346">
        <f t="shared" si="808"/>
        <v>949.52315115299996</v>
      </c>
      <c r="BI149" s="346">
        <f t="shared" si="808"/>
        <v>1106.6701232453102</v>
      </c>
      <c r="BJ149" s="346">
        <f t="shared" si="808"/>
        <v>1251.6750377708202</v>
      </c>
      <c r="BK149" s="346">
        <f t="shared" si="808"/>
        <v>1359.5013612052601</v>
      </c>
      <c r="BL149" s="346">
        <f t="shared" si="808"/>
        <v>1437.2196741747</v>
      </c>
      <c r="BM149" s="346">
        <f t="shared" si="808"/>
        <v>1824.14</v>
      </c>
      <c r="BN149" s="346">
        <f t="shared" si="808"/>
        <v>1940.155</v>
      </c>
      <c r="BO149" s="346">
        <f t="shared" si="808"/>
        <v>1961.895</v>
      </c>
      <c r="BP149" s="346">
        <f t="shared" si="808"/>
        <v>2009.1089999999999</v>
      </c>
      <c r="BQ149" s="346">
        <f t="shared" si="808"/>
        <v>2107.8290000000002</v>
      </c>
      <c r="BR149" s="346">
        <f t="shared" si="808"/>
        <v>2275.38</v>
      </c>
      <c r="BS149" s="346">
        <f t="shared" si="808"/>
        <v>2256.6550000000002</v>
      </c>
      <c r="BT149" s="345">
        <f t="shared" si="808"/>
        <v>2310.8539999999998</v>
      </c>
      <c r="BU149" s="345">
        <f t="shared" si="808"/>
        <v>2396.2273860121159</v>
      </c>
      <c r="BV149" s="345">
        <f t="shared" si="808"/>
        <v>2291.3207500753442</v>
      </c>
      <c r="BW149" s="345">
        <f t="shared" si="808"/>
        <v>2431.526784203133</v>
      </c>
      <c r="BX149" s="345">
        <f t="shared" si="808"/>
        <v>2398.6651488455864</v>
      </c>
      <c r="BY149" s="345">
        <f t="shared" si="808"/>
        <v>2526.8359177923753</v>
      </c>
      <c r="BZ149" s="345">
        <f t="shared" si="808"/>
        <v>2488.154125408395</v>
      </c>
      <c r="CA149" s="345">
        <f t="shared" si="808"/>
        <v>2603.5101852903667</v>
      </c>
      <c r="CB149" s="345">
        <f t="shared" si="808"/>
        <v>2571.5568804804311</v>
      </c>
      <c r="CC149" s="345">
        <f t="shared" si="808"/>
        <v>2671.3875473392518</v>
      </c>
      <c r="CD149" s="345">
        <f t="shared" si="808"/>
        <v>2702.3879676752999</v>
      </c>
      <c r="CE149" s="345">
        <f t="shared" si="808"/>
        <v>2852.1948683103028</v>
      </c>
      <c r="CF149" s="345">
        <f t="shared" si="808"/>
        <v>2880.4238332664127</v>
      </c>
      <c r="CG149" s="345">
        <f t="shared" si="808"/>
        <v>3023.9208444851652</v>
      </c>
      <c r="CH149" s="345">
        <f t="shared" si="808"/>
        <v>3067.2927270052019</v>
      </c>
      <c r="CI149" s="345">
        <f t="shared" si="808"/>
        <v>3217.356060566739</v>
      </c>
      <c r="CJ149" s="345">
        <f t="shared" ref="CJ149" si="809">+CI154</f>
        <v>3269.2257398031729</v>
      </c>
      <c r="CK149" s="345">
        <f t="shared" ref="CK149" si="810">+CJ154</f>
        <v>3410.1051456584833</v>
      </c>
      <c r="CL149" s="345">
        <f t="shared" ref="CL149" si="811">+CK154</f>
        <v>3480.815288197346</v>
      </c>
      <c r="CM149" s="345">
        <f t="shared" ref="CM149" si="812">+CL154</f>
        <v>3627.4107774267363</v>
      </c>
      <c r="CN149" s="345">
        <f t="shared" ref="CN149" si="813">+CM154</f>
        <v>3719.5045638418501</v>
      </c>
      <c r="CO149" s="345">
        <f t="shared" ref="CO149" si="814">+CN154</f>
        <v>3846.0138071047313</v>
      </c>
      <c r="CP149" s="345">
        <f t="shared" ref="CP149" si="815">+CO154</f>
        <v>3962.6581938014833</v>
      </c>
      <c r="CQ149" s="345">
        <f t="shared" ref="CQ149" si="816">+CP154</f>
        <v>4095.7405685487665</v>
      </c>
    </row>
    <row r="150" spans="1:95" s="325" customFormat="1" ht="11.25" customHeight="1">
      <c r="A150" s="344" t="s">
        <v>285</v>
      </c>
      <c r="B150" s="342"/>
      <c r="C150" s="342">
        <f t="shared" ref="C150:S150" si="817">(+C151-C149)</f>
        <v>0</v>
      </c>
      <c r="D150" s="342">
        <f t="shared" si="817"/>
        <v>0</v>
      </c>
      <c r="E150" s="342">
        <f t="shared" si="817"/>
        <v>0</v>
      </c>
      <c r="F150" s="342">
        <f t="shared" si="817"/>
        <v>0</v>
      </c>
      <c r="G150" s="342">
        <f t="shared" si="817"/>
        <v>0</v>
      </c>
      <c r="H150" s="342">
        <f t="shared" si="817"/>
        <v>0</v>
      </c>
      <c r="I150" s="342">
        <f t="shared" si="817"/>
        <v>790.9768240671001</v>
      </c>
      <c r="J150" s="342">
        <f t="shared" si="817"/>
        <v>436.54979505217989</v>
      </c>
      <c r="K150" s="342">
        <f t="shared" si="817"/>
        <v>508.80194537848013</v>
      </c>
      <c r="L150" s="342">
        <f t="shared" si="817"/>
        <v>903.53537715523987</v>
      </c>
      <c r="M150" s="342">
        <f t="shared" si="817"/>
        <v>1879.3172524216998</v>
      </c>
      <c r="N150" s="342">
        <f t="shared" si="817"/>
        <v>1967.6823258253</v>
      </c>
      <c r="O150" s="342">
        <f t="shared" si="817"/>
        <v>1916.1399999999999</v>
      </c>
      <c r="P150" s="341">
        <f t="shared" si="817"/>
        <v>2394.5222675066329</v>
      </c>
      <c r="Q150" s="341">
        <f t="shared" si="817"/>
        <v>2786.3776008474943</v>
      </c>
      <c r="R150" s="341">
        <f t="shared" si="817"/>
        <v>2738.4364659553744</v>
      </c>
      <c r="S150" s="341">
        <f t="shared" si="817"/>
        <v>2909.5250488423344</v>
      </c>
      <c r="T150" s="341">
        <f t="shared" ref="T150:U150" si="818">(+T151-T149)</f>
        <v>3319.9808884829922</v>
      </c>
      <c r="U150" s="341">
        <f t="shared" si="818"/>
        <v>3788.8701850862521</v>
      </c>
      <c r="V150" s="323"/>
      <c r="W150" s="344" t="s">
        <v>285</v>
      </c>
      <c r="X150" s="342">
        <f t="shared" ref="X150:BC150" si="819">(+X151-X149)</f>
        <v>0</v>
      </c>
      <c r="Y150" s="342">
        <f t="shared" si="819"/>
        <v>0</v>
      </c>
      <c r="Z150" s="342">
        <f t="shared" si="819"/>
        <v>0</v>
      </c>
      <c r="AA150" s="342">
        <f t="shared" si="819"/>
        <v>0</v>
      </c>
      <c r="AB150" s="342">
        <f t="shared" si="819"/>
        <v>0</v>
      </c>
      <c r="AC150" s="342">
        <f t="shared" si="819"/>
        <v>0</v>
      </c>
      <c r="AD150" s="342">
        <f t="shared" si="819"/>
        <v>0</v>
      </c>
      <c r="AE150" s="342">
        <f t="shared" si="819"/>
        <v>0</v>
      </c>
      <c r="AF150" s="342">
        <f t="shared" si="819"/>
        <v>0</v>
      </c>
      <c r="AG150" s="342">
        <f t="shared" si="819"/>
        <v>0</v>
      </c>
      <c r="AH150" s="342">
        <f t="shared" si="819"/>
        <v>0</v>
      </c>
      <c r="AI150" s="342">
        <f t="shared" si="819"/>
        <v>0</v>
      </c>
      <c r="AJ150" s="342">
        <f t="shared" si="819"/>
        <v>0</v>
      </c>
      <c r="AK150" s="342">
        <f t="shared" si="819"/>
        <v>0</v>
      </c>
      <c r="AL150" s="342">
        <f t="shared" si="819"/>
        <v>0</v>
      </c>
      <c r="AM150" s="342">
        <f t="shared" si="819"/>
        <v>0</v>
      </c>
      <c r="AN150" s="342">
        <f t="shared" si="819"/>
        <v>0</v>
      </c>
      <c r="AO150" s="342">
        <f t="shared" si="819"/>
        <v>0</v>
      </c>
      <c r="AP150" s="342">
        <f t="shared" si="819"/>
        <v>0</v>
      </c>
      <c r="AQ150" s="342">
        <f t="shared" si="819"/>
        <v>0</v>
      </c>
      <c r="AR150" s="342">
        <f t="shared" si="819"/>
        <v>410.85546734110005</v>
      </c>
      <c r="AS150" s="342">
        <f t="shared" si="819"/>
        <v>179.02055270070002</v>
      </c>
      <c r="AT150" s="342">
        <f t="shared" si="819"/>
        <v>203.81769957720002</v>
      </c>
      <c r="AU150" s="342">
        <f t="shared" si="819"/>
        <v>312.52588244810011</v>
      </c>
      <c r="AV150" s="342">
        <f t="shared" si="819"/>
        <v>151.88062583276985</v>
      </c>
      <c r="AW150" s="342">
        <f t="shared" si="819"/>
        <v>96.179869855670177</v>
      </c>
      <c r="AX150" s="342">
        <f t="shared" si="819"/>
        <v>255.7621940547798</v>
      </c>
      <c r="AY150" s="342">
        <f t="shared" si="819"/>
        <v>375.42355030895999</v>
      </c>
      <c r="AZ150" s="342">
        <f t="shared" si="819"/>
        <v>118.52795046979975</v>
      </c>
      <c r="BA150" s="342">
        <f t="shared" si="819"/>
        <v>119.93179867842025</v>
      </c>
      <c r="BB150" s="342">
        <f t="shared" si="819"/>
        <v>296.70283699684001</v>
      </c>
      <c r="BC150" s="342">
        <f t="shared" si="819"/>
        <v>397.40309198342015</v>
      </c>
      <c r="BD150" s="342">
        <f t="shared" ref="BD150:CI150" si="820">(+BD151-BD149)</f>
        <v>195.84262281269991</v>
      </c>
      <c r="BE150" s="342">
        <f t="shared" si="820"/>
        <v>340.65097306490975</v>
      </c>
      <c r="BF150" s="342">
        <f t="shared" si="820"/>
        <v>440.89952073145014</v>
      </c>
      <c r="BG150" s="343">
        <f t="shared" si="820"/>
        <v>691.62372404617986</v>
      </c>
      <c r="BH150" s="342">
        <f t="shared" si="820"/>
        <v>309.57367209231018</v>
      </c>
      <c r="BI150" s="342">
        <f t="shared" ref="BI150" si="821">(+BI151-BI149)</f>
        <v>340.85786177550995</v>
      </c>
      <c r="BJ150" s="342">
        <f t="shared" si="820"/>
        <v>690.26188323443989</v>
      </c>
      <c r="BK150" s="342">
        <f t="shared" si="820"/>
        <v>910.82903211943972</v>
      </c>
      <c r="BL150" s="342">
        <f t="shared" ref="BL150" si="822">(+BL151-BL149)</f>
        <v>1336.9343449752998</v>
      </c>
      <c r="BM150" s="342">
        <f t="shared" si="820"/>
        <v>678.08299999999986</v>
      </c>
      <c r="BN150" s="342">
        <f t="shared" ref="BN150:BO150" si="823">(+BN151-BN149)</f>
        <v>735.19299999999998</v>
      </c>
      <c r="BO150" s="342">
        <f t="shared" si="823"/>
        <v>880.93899999999985</v>
      </c>
      <c r="BP150" s="342">
        <f t="shared" si="820"/>
        <v>470.30000000000018</v>
      </c>
      <c r="BQ150" s="342">
        <f t="shared" si="820"/>
        <v>892.82099999999991</v>
      </c>
      <c r="BR150" s="342">
        <f t="shared" ref="BR150:BS150" si="824">(+BR151-BR149)</f>
        <v>777.73300000000017</v>
      </c>
      <c r="BS150" s="342">
        <f t="shared" si="824"/>
        <v>943.32399999999961</v>
      </c>
      <c r="BT150" s="341">
        <f t="shared" si="820"/>
        <v>614.7670810121158</v>
      </c>
      <c r="BU150" s="341">
        <f t="shared" si="820"/>
        <v>987.52260213957925</v>
      </c>
      <c r="BV150" s="341">
        <f t="shared" si="820"/>
        <v>1825.4250663111607</v>
      </c>
      <c r="BW150" s="341">
        <f t="shared" si="820"/>
        <v>2273.8494833034997</v>
      </c>
      <c r="BX150" s="341">
        <f t="shared" si="820"/>
        <v>772.00701051462784</v>
      </c>
      <c r="BY150" s="341">
        <f t="shared" si="820"/>
        <v>1269.3216863103485</v>
      </c>
      <c r="BZ150" s="341">
        <f t="shared" si="820"/>
        <v>2086.4219686663218</v>
      </c>
      <c r="CA150" s="341">
        <f t="shared" si="820"/>
        <v>2581.5325644027139</v>
      </c>
      <c r="CB150" s="341">
        <f t="shared" si="820"/>
        <v>724.1479629195569</v>
      </c>
      <c r="CC150" s="341">
        <f t="shared" si="820"/>
        <v>1265.3931641361796</v>
      </c>
      <c r="CD150" s="341">
        <f t="shared" si="820"/>
        <v>1984.644369983293</v>
      </c>
      <c r="CE150" s="341">
        <f t="shared" si="820"/>
        <v>2457.7984781255027</v>
      </c>
      <c r="CF150" s="341">
        <f t="shared" si="820"/>
        <v>755.95820435801897</v>
      </c>
      <c r="CG150" s="341">
        <f t="shared" si="820"/>
        <v>1277.4032854570664</v>
      </c>
      <c r="CH150" s="341">
        <f t="shared" si="820"/>
        <v>2015.9558143778099</v>
      </c>
      <c r="CI150" s="341">
        <f t="shared" si="820"/>
        <v>2572.5928215420081</v>
      </c>
      <c r="CJ150" s="341">
        <f t="shared" ref="CJ150:CM150" si="825">(+CJ151-CJ149)</f>
        <v>820.04259113539683</v>
      </c>
      <c r="CK150" s="341">
        <f t="shared" si="825"/>
        <v>1454.4248656206578</v>
      </c>
      <c r="CL150" s="341">
        <f t="shared" si="825"/>
        <v>2260.5758932866779</v>
      </c>
      <c r="CM150" s="341">
        <f t="shared" si="825"/>
        <v>2961.7958508594288</v>
      </c>
      <c r="CN150" s="341">
        <f t="shared" ref="CN150:CQ150" si="826">(+CN151-CN149)</f>
        <v>907.5010552764993</v>
      </c>
      <c r="CO150" s="341">
        <f t="shared" si="826"/>
        <v>1703.5324885814625</v>
      </c>
      <c r="CP150" s="341">
        <f t="shared" si="826"/>
        <v>2550.6843277250673</v>
      </c>
      <c r="CQ150" s="341">
        <f t="shared" si="826"/>
        <v>3412.6341803793357</v>
      </c>
    </row>
    <row r="151" spans="1:95" s="325" customFormat="1" ht="11.25" customHeight="1">
      <c r="A151" s="340" t="s">
        <v>284</v>
      </c>
      <c r="B151" s="338"/>
      <c r="C151" s="338">
        <f t="shared" ref="C151:S151" si="827">+C154+C153</f>
        <v>0</v>
      </c>
      <c r="D151" s="338">
        <f t="shared" si="827"/>
        <v>0</v>
      </c>
      <c r="E151" s="338">
        <f t="shared" si="827"/>
        <v>0</v>
      </c>
      <c r="F151" s="338">
        <f t="shared" si="827"/>
        <v>0</v>
      </c>
      <c r="G151" s="338">
        <f t="shared" si="827"/>
        <v>0</v>
      </c>
      <c r="H151" s="338">
        <f t="shared" si="827"/>
        <v>0</v>
      </c>
      <c r="I151" s="338">
        <f t="shared" si="827"/>
        <v>790.9768240671001</v>
      </c>
      <c r="J151" s="338">
        <f t="shared" si="827"/>
        <v>969.82017086927999</v>
      </c>
      <c r="K151" s="338">
        <f t="shared" si="827"/>
        <v>1097.9851052477602</v>
      </c>
      <c r="L151" s="338">
        <f t="shared" si="827"/>
        <v>1602.1928174029999</v>
      </c>
      <c r="M151" s="338">
        <f t="shared" si="827"/>
        <v>2828.8404035746998</v>
      </c>
      <c r="N151" s="338">
        <f t="shared" si="827"/>
        <v>3404.902</v>
      </c>
      <c r="O151" s="338">
        <f t="shared" si="827"/>
        <v>3925.2489999999998</v>
      </c>
      <c r="P151" s="337">
        <f t="shared" si="827"/>
        <v>4705.3762675066328</v>
      </c>
      <c r="Q151" s="337">
        <f t="shared" si="827"/>
        <v>5185.0427496930806</v>
      </c>
      <c r="R151" s="337">
        <f t="shared" si="827"/>
        <v>5309.9933464358055</v>
      </c>
      <c r="S151" s="337">
        <f t="shared" si="827"/>
        <v>5789.9488821087471</v>
      </c>
      <c r="T151" s="337">
        <f t="shared" ref="T151:U151" si="828">+T154+T153</f>
        <v>6589.2066282861651</v>
      </c>
      <c r="U151" s="337">
        <f t="shared" si="828"/>
        <v>7508.3747489281022</v>
      </c>
      <c r="V151" s="323"/>
      <c r="W151" s="340" t="s">
        <v>284</v>
      </c>
      <c r="X151" s="338">
        <f t="shared" ref="X151:BC151" si="829">+X154+X153</f>
        <v>0</v>
      </c>
      <c r="Y151" s="338">
        <f t="shared" si="829"/>
        <v>0</v>
      </c>
      <c r="Z151" s="338">
        <f t="shared" si="829"/>
        <v>0</v>
      </c>
      <c r="AA151" s="338">
        <f t="shared" si="829"/>
        <v>0</v>
      </c>
      <c r="AB151" s="338">
        <f t="shared" si="829"/>
        <v>0</v>
      </c>
      <c r="AC151" s="338">
        <f t="shared" si="829"/>
        <v>0</v>
      </c>
      <c r="AD151" s="338">
        <f t="shared" si="829"/>
        <v>0</v>
      </c>
      <c r="AE151" s="338">
        <f t="shared" si="829"/>
        <v>0</v>
      </c>
      <c r="AF151" s="338">
        <f t="shared" si="829"/>
        <v>0</v>
      </c>
      <c r="AG151" s="338">
        <f t="shared" si="829"/>
        <v>0</v>
      </c>
      <c r="AH151" s="338">
        <f t="shared" si="829"/>
        <v>0</v>
      </c>
      <c r="AI151" s="338">
        <f t="shared" si="829"/>
        <v>0</v>
      </c>
      <c r="AJ151" s="338">
        <f t="shared" si="829"/>
        <v>0</v>
      </c>
      <c r="AK151" s="338">
        <f t="shared" si="829"/>
        <v>0</v>
      </c>
      <c r="AL151" s="338">
        <f t="shared" si="829"/>
        <v>0</v>
      </c>
      <c r="AM151" s="338">
        <f t="shared" si="829"/>
        <v>0</v>
      </c>
      <c r="AN151" s="338">
        <f t="shared" si="829"/>
        <v>0</v>
      </c>
      <c r="AO151" s="338">
        <f t="shared" si="829"/>
        <v>0</v>
      </c>
      <c r="AP151" s="338">
        <f t="shared" si="829"/>
        <v>0</v>
      </c>
      <c r="AQ151" s="338">
        <f t="shared" si="829"/>
        <v>0</v>
      </c>
      <c r="AR151" s="338">
        <f t="shared" si="829"/>
        <v>410.85546734110005</v>
      </c>
      <c r="AS151" s="338">
        <f t="shared" si="829"/>
        <v>548.86711504180005</v>
      </c>
      <c r="AT151" s="338">
        <f t="shared" si="829"/>
        <v>645.46649686900003</v>
      </c>
      <c r="AU151" s="338">
        <f t="shared" si="829"/>
        <v>790.9768240671001</v>
      </c>
      <c r="AV151" s="338">
        <f t="shared" si="829"/>
        <v>685.15100164986995</v>
      </c>
      <c r="AW151" s="338">
        <f t="shared" si="829"/>
        <v>709.12621950554012</v>
      </c>
      <c r="AX151" s="338">
        <f t="shared" si="829"/>
        <v>865.81254156031991</v>
      </c>
      <c r="AY151" s="338">
        <f t="shared" si="829"/>
        <v>969.82017086927999</v>
      </c>
      <c r="AZ151" s="338">
        <f t="shared" si="829"/>
        <v>707.71111033907982</v>
      </c>
      <c r="BA151" s="338">
        <f t="shared" si="829"/>
        <v>762.55685301750009</v>
      </c>
      <c r="BB151" s="338">
        <f t="shared" si="829"/>
        <v>963.3596862643401</v>
      </c>
      <c r="BC151" s="338">
        <f t="shared" si="829"/>
        <v>1097.9851052477602</v>
      </c>
      <c r="BD151" s="338">
        <f t="shared" ref="BD151:CI151" si="830">+BD154+BD153</f>
        <v>894.50006306045998</v>
      </c>
      <c r="BE151" s="338">
        <f t="shared" si="830"/>
        <v>1140.9913801253697</v>
      </c>
      <c r="BF151" s="338">
        <f t="shared" si="830"/>
        <v>1336.1685606068199</v>
      </c>
      <c r="BG151" s="339">
        <f t="shared" si="830"/>
        <v>1602.1928174029999</v>
      </c>
      <c r="BH151" s="338">
        <f t="shared" si="830"/>
        <v>1259.0968232453101</v>
      </c>
      <c r="BI151" s="338">
        <f t="shared" ref="BI151" si="831">+BI154+BI153</f>
        <v>1447.5279850208201</v>
      </c>
      <c r="BJ151" s="338">
        <f t="shared" si="830"/>
        <v>1941.93692100526</v>
      </c>
      <c r="BK151" s="338">
        <f t="shared" si="830"/>
        <v>2270.3303933246998</v>
      </c>
      <c r="BL151" s="338">
        <f t="shared" ref="BL151" si="832">+BL154+BL153</f>
        <v>2774.1540191499998</v>
      </c>
      <c r="BM151" s="338">
        <f t="shared" si="830"/>
        <v>2502.223</v>
      </c>
      <c r="BN151" s="338">
        <f t="shared" ref="BN151:BO151" si="833">+BN154+BN153</f>
        <v>2675.348</v>
      </c>
      <c r="BO151" s="338">
        <f t="shared" si="833"/>
        <v>2842.8339999999998</v>
      </c>
      <c r="BP151" s="338">
        <f t="shared" si="830"/>
        <v>2479.4090000000001</v>
      </c>
      <c r="BQ151" s="338">
        <f t="shared" si="830"/>
        <v>3000.65</v>
      </c>
      <c r="BR151" s="338">
        <f t="shared" ref="BR151:BS151" si="834">+BR154+BR153</f>
        <v>3053.1130000000003</v>
      </c>
      <c r="BS151" s="338">
        <f t="shared" si="834"/>
        <v>3199.9789999999998</v>
      </c>
      <c r="BT151" s="337">
        <f t="shared" si="830"/>
        <v>2925.6210810121156</v>
      </c>
      <c r="BU151" s="337">
        <f t="shared" si="830"/>
        <v>3383.7499881516951</v>
      </c>
      <c r="BV151" s="337">
        <f t="shared" si="830"/>
        <v>4116.7458163865049</v>
      </c>
      <c r="BW151" s="337">
        <f t="shared" si="830"/>
        <v>4705.3762675066328</v>
      </c>
      <c r="BX151" s="337">
        <f t="shared" si="830"/>
        <v>3170.6721593602142</v>
      </c>
      <c r="BY151" s="337">
        <f t="shared" si="830"/>
        <v>3796.1576041027238</v>
      </c>
      <c r="BZ151" s="337">
        <f t="shared" si="830"/>
        <v>4574.5760940747168</v>
      </c>
      <c r="CA151" s="337">
        <f t="shared" si="830"/>
        <v>5185.0427496930806</v>
      </c>
      <c r="CB151" s="337">
        <f t="shared" si="830"/>
        <v>3295.704843399988</v>
      </c>
      <c r="CC151" s="337">
        <f t="shared" si="830"/>
        <v>3936.7807114754314</v>
      </c>
      <c r="CD151" s="337">
        <f t="shared" si="830"/>
        <v>4687.032337658593</v>
      </c>
      <c r="CE151" s="337">
        <f t="shared" si="830"/>
        <v>5309.9933464358055</v>
      </c>
      <c r="CF151" s="337">
        <f t="shared" si="830"/>
        <v>3636.3820376244316</v>
      </c>
      <c r="CG151" s="337">
        <f t="shared" si="830"/>
        <v>4301.3241299422316</v>
      </c>
      <c r="CH151" s="337">
        <f t="shared" si="830"/>
        <v>5083.2485413830118</v>
      </c>
      <c r="CI151" s="337">
        <f t="shared" si="830"/>
        <v>5789.9488821087471</v>
      </c>
      <c r="CJ151" s="337">
        <f t="shared" ref="CJ151:CM151" si="835">+CJ154+CJ153</f>
        <v>4089.2683309385698</v>
      </c>
      <c r="CK151" s="337">
        <f t="shared" si="835"/>
        <v>4864.530011279141</v>
      </c>
      <c r="CL151" s="337">
        <f t="shared" si="835"/>
        <v>5741.3911814840239</v>
      </c>
      <c r="CM151" s="337">
        <f t="shared" si="835"/>
        <v>6589.2066282861651</v>
      </c>
      <c r="CN151" s="337">
        <f t="shared" ref="CN151:CQ151" si="836">+CN154+CN153</f>
        <v>4627.0056191183494</v>
      </c>
      <c r="CO151" s="337">
        <f t="shared" si="836"/>
        <v>5549.5462956861938</v>
      </c>
      <c r="CP151" s="337">
        <f t="shared" si="836"/>
        <v>6513.3425215265506</v>
      </c>
      <c r="CQ151" s="337">
        <f t="shared" si="836"/>
        <v>7508.3747489281022</v>
      </c>
    </row>
    <row r="152" spans="1:95" s="325" customFormat="1" ht="11.25" customHeight="1">
      <c r="A152" s="336" t="s">
        <v>283</v>
      </c>
      <c r="B152" s="334"/>
      <c r="C152" s="334"/>
      <c r="D152" s="334" t="e">
        <f t="shared" ref="D152:U152" si="837">+D151/C151-1</f>
        <v>#DIV/0!</v>
      </c>
      <c r="E152" s="334" t="e">
        <f t="shared" si="837"/>
        <v>#DIV/0!</v>
      </c>
      <c r="F152" s="334" t="e">
        <f t="shared" si="837"/>
        <v>#DIV/0!</v>
      </c>
      <c r="G152" s="334" t="e">
        <f t="shared" si="837"/>
        <v>#DIV/0!</v>
      </c>
      <c r="H152" s="334" t="e">
        <f t="shared" si="837"/>
        <v>#DIV/0!</v>
      </c>
      <c r="I152" s="334" t="e">
        <f t="shared" si="837"/>
        <v>#DIV/0!</v>
      </c>
      <c r="J152" s="334">
        <f t="shared" si="837"/>
        <v>0.22610440832209289</v>
      </c>
      <c r="K152" s="334">
        <f t="shared" si="837"/>
        <v>0.13215329834148726</v>
      </c>
      <c r="L152" s="334">
        <f t="shared" si="837"/>
        <v>0.45921179599377648</v>
      </c>
      <c r="M152" s="334">
        <f t="shared" si="837"/>
        <v>0.7656054707322788</v>
      </c>
      <c r="N152" s="334">
        <f t="shared" si="837"/>
        <v>0.20363877569669642</v>
      </c>
      <c r="O152" s="334">
        <f t="shared" si="837"/>
        <v>0.15282290062973902</v>
      </c>
      <c r="P152" s="333">
        <f t="shared" si="837"/>
        <v>0.19874593115153538</v>
      </c>
      <c r="Q152" s="333">
        <f t="shared" si="837"/>
        <v>0.10194009042354901</v>
      </c>
      <c r="R152" s="333">
        <f t="shared" si="837"/>
        <v>2.4098277058587581E-2</v>
      </c>
      <c r="S152" s="333">
        <f t="shared" si="837"/>
        <v>9.0387219787214867E-2</v>
      </c>
      <c r="T152" s="333">
        <f t="shared" si="837"/>
        <v>0.13804228024312404</v>
      </c>
      <c r="U152" s="333">
        <f t="shared" si="837"/>
        <v>0.13949602319285748</v>
      </c>
      <c r="V152" s="323"/>
      <c r="W152" s="336" t="s">
        <v>283</v>
      </c>
      <c r="X152" s="334">
        <v>0</v>
      </c>
      <c r="Y152" s="334" t="e">
        <f t="shared" ref="Y152:BD152" si="838">+Y151/X151-1</f>
        <v>#DIV/0!</v>
      </c>
      <c r="Z152" s="334" t="e">
        <f t="shared" si="838"/>
        <v>#DIV/0!</v>
      </c>
      <c r="AA152" s="334" t="e">
        <f t="shared" si="838"/>
        <v>#DIV/0!</v>
      </c>
      <c r="AB152" s="334" t="e">
        <f t="shared" si="838"/>
        <v>#DIV/0!</v>
      </c>
      <c r="AC152" s="334" t="e">
        <f t="shared" si="838"/>
        <v>#DIV/0!</v>
      </c>
      <c r="AD152" s="334" t="e">
        <f t="shared" si="838"/>
        <v>#DIV/0!</v>
      </c>
      <c r="AE152" s="334" t="e">
        <f t="shared" si="838"/>
        <v>#DIV/0!</v>
      </c>
      <c r="AF152" s="334" t="e">
        <f t="shared" si="838"/>
        <v>#DIV/0!</v>
      </c>
      <c r="AG152" s="334" t="e">
        <f t="shared" si="838"/>
        <v>#DIV/0!</v>
      </c>
      <c r="AH152" s="334" t="e">
        <f t="shared" si="838"/>
        <v>#DIV/0!</v>
      </c>
      <c r="AI152" s="334" t="e">
        <f t="shared" si="838"/>
        <v>#DIV/0!</v>
      </c>
      <c r="AJ152" s="334" t="e">
        <f t="shared" si="838"/>
        <v>#DIV/0!</v>
      </c>
      <c r="AK152" s="334" t="e">
        <f t="shared" si="838"/>
        <v>#DIV/0!</v>
      </c>
      <c r="AL152" s="334" t="e">
        <f t="shared" si="838"/>
        <v>#DIV/0!</v>
      </c>
      <c r="AM152" s="334" t="e">
        <f t="shared" si="838"/>
        <v>#DIV/0!</v>
      </c>
      <c r="AN152" s="334" t="e">
        <f t="shared" si="838"/>
        <v>#DIV/0!</v>
      </c>
      <c r="AO152" s="334" t="e">
        <f t="shared" si="838"/>
        <v>#DIV/0!</v>
      </c>
      <c r="AP152" s="334" t="e">
        <f t="shared" si="838"/>
        <v>#DIV/0!</v>
      </c>
      <c r="AQ152" s="334" t="e">
        <f t="shared" si="838"/>
        <v>#DIV/0!</v>
      </c>
      <c r="AR152" s="334" t="e">
        <f t="shared" si="838"/>
        <v>#DIV/0!</v>
      </c>
      <c r="AS152" s="334">
        <f t="shared" si="838"/>
        <v>0.33591289071521624</v>
      </c>
      <c r="AT152" s="334">
        <f t="shared" si="838"/>
        <v>0.17599775825491615</v>
      </c>
      <c r="AU152" s="334">
        <f t="shared" si="838"/>
        <v>0.22543436089082092</v>
      </c>
      <c r="AV152" s="334">
        <f t="shared" si="838"/>
        <v>-0.13379130613851298</v>
      </c>
      <c r="AW152" s="334">
        <f t="shared" si="838"/>
        <v>3.499260425502837E-2</v>
      </c>
      <c r="AX152" s="334">
        <f t="shared" si="838"/>
        <v>0.22095688714490636</v>
      </c>
      <c r="AY152" s="334">
        <f t="shared" si="838"/>
        <v>0.12012719187634224</v>
      </c>
      <c r="AZ152" s="334">
        <f t="shared" si="838"/>
        <v>-0.27026563109660184</v>
      </c>
      <c r="BA152" s="334">
        <f t="shared" si="838"/>
        <v>7.7497359978060176E-2</v>
      </c>
      <c r="BB152" s="334">
        <f t="shared" si="838"/>
        <v>0.26332834391592796</v>
      </c>
      <c r="BC152" s="334">
        <f t="shared" si="838"/>
        <v>0.1397457469965997</v>
      </c>
      <c r="BD152" s="334">
        <f t="shared" si="838"/>
        <v>-0.18532586755025593</v>
      </c>
      <c r="BE152" s="334">
        <f t="shared" ref="BE152:CI152" si="839">+BE151/BD151-1</f>
        <v>0.27556321932673722</v>
      </c>
      <c r="BF152" s="334">
        <f t="shared" si="839"/>
        <v>0.17105929447074764</v>
      </c>
      <c r="BG152" s="335">
        <f t="shared" si="839"/>
        <v>0.19909483327115951</v>
      </c>
      <c r="BH152" s="334">
        <f t="shared" si="839"/>
        <v>-0.2141415130756954</v>
      </c>
      <c r="BI152" s="334">
        <f t="shared" si="839"/>
        <v>0.14965581542000117</v>
      </c>
      <c r="BJ152" s="334">
        <f t="shared" si="839"/>
        <v>0.34155397415499977</v>
      </c>
      <c r="BK152" s="334">
        <f t="shared" si="839"/>
        <v>0.16910614797387136</v>
      </c>
      <c r="BL152" s="334">
        <f t="shared" si="839"/>
        <v>0.22191643441265585</v>
      </c>
      <c r="BM152" s="334">
        <f t="shared" si="839"/>
        <v>-9.8023043159413126E-2</v>
      </c>
      <c r="BN152" s="334">
        <f t="shared" si="839"/>
        <v>6.9188477605713006E-2</v>
      </c>
      <c r="BO152" s="334">
        <f t="shared" si="839"/>
        <v>6.2603444486474258E-2</v>
      </c>
      <c r="BP152" s="334">
        <f t="shared" si="839"/>
        <v>-0.12783898039772978</v>
      </c>
      <c r="BQ152" s="334">
        <f t="shared" si="839"/>
        <v>0.21022792125058842</v>
      </c>
      <c r="BR152" s="334">
        <f t="shared" si="839"/>
        <v>1.7483878492993155E-2</v>
      </c>
      <c r="BS152" s="334">
        <f t="shared" si="839"/>
        <v>4.8103689578472775E-2</v>
      </c>
      <c r="BT152" s="333">
        <f t="shared" si="839"/>
        <v>-8.5737412335482266E-2</v>
      </c>
      <c r="BU152" s="333">
        <f t="shared" si="839"/>
        <v>0.15659201737126205</v>
      </c>
      <c r="BV152" s="333">
        <f t="shared" si="839"/>
        <v>0.21662233640233985</v>
      </c>
      <c r="BW152" s="333">
        <f t="shared" si="839"/>
        <v>0.14298440500676857</v>
      </c>
      <c r="BX152" s="333">
        <f t="shared" si="839"/>
        <v>-0.32615969922415033</v>
      </c>
      <c r="BY152" s="333">
        <f t="shared" si="839"/>
        <v>0.19727219129104845</v>
      </c>
      <c r="BZ152" s="333">
        <f t="shared" si="839"/>
        <v>0.20505431311142397</v>
      </c>
      <c r="CA152" s="333">
        <f t="shared" si="839"/>
        <v>0.1334476994292606</v>
      </c>
      <c r="CB152" s="333">
        <f t="shared" si="839"/>
        <v>-0.36438231997314363</v>
      </c>
      <c r="CC152" s="333">
        <f t="shared" si="839"/>
        <v>0.19451859269475191</v>
      </c>
      <c r="CD152" s="333">
        <f t="shared" si="839"/>
        <v>0.19057490908656205</v>
      </c>
      <c r="CE152" s="333">
        <f t="shared" si="839"/>
        <v>0.13291160886003461</v>
      </c>
      <c r="CF152" s="333">
        <f t="shared" si="839"/>
        <v>-0.31518143237123675</v>
      </c>
      <c r="CG152" s="333">
        <f t="shared" si="839"/>
        <v>0.18285815006175543</v>
      </c>
      <c r="CH152" s="333">
        <f t="shared" si="839"/>
        <v>0.18178690743105697</v>
      </c>
      <c r="CI152" s="333">
        <f t="shared" si="839"/>
        <v>0.13902533684364404</v>
      </c>
      <c r="CJ152" s="333">
        <f t="shared" ref="CJ152" si="840">+CJ151/CI151-1</f>
        <v>-0.29372980414824934</v>
      </c>
      <c r="CK152" s="333">
        <f t="shared" ref="CK152" si="841">+CK151/CJ151-1</f>
        <v>0.18958444826794563</v>
      </c>
      <c r="CL152" s="333">
        <f t="shared" ref="CL152" si="842">+CL151/CK151-1</f>
        <v>0.18025609219631678</v>
      </c>
      <c r="CM152" s="333">
        <f t="shared" ref="CM152" si="843">+CM151/CL151-1</f>
        <v>0.14766724997529246</v>
      </c>
      <c r="CN152" s="333">
        <f t="shared" ref="CN152" si="844">+CN151/CM151-1</f>
        <v>-0.29779017715797129</v>
      </c>
      <c r="CO152" s="333">
        <f t="shared" ref="CO152" si="845">+CO151/CN151-1</f>
        <v>0.19938179300150272</v>
      </c>
      <c r="CP152" s="333">
        <f t="shared" ref="CP152" si="846">+CP151/CO151-1</f>
        <v>0.17367117499128537</v>
      </c>
      <c r="CQ152" s="333">
        <f t="shared" ref="CQ152" si="847">+CQ151/CP151-1</f>
        <v>0.15276829433013495</v>
      </c>
    </row>
    <row r="153" spans="1:95" s="325" customFormat="1" ht="11.25" customHeight="1">
      <c r="A153" s="344" t="s">
        <v>282</v>
      </c>
      <c r="B153" s="342"/>
      <c r="C153" s="342">
        <f>(+'Balance Sheet'!H78)/1000</f>
        <v>0</v>
      </c>
      <c r="D153" s="342">
        <f>(+'Balance Sheet'!I78)/1000</f>
        <v>0</v>
      </c>
      <c r="E153" s="342">
        <f>(+'Balance Sheet'!J78)/1000</f>
        <v>0</v>
      </c>
      <c r="F153" s="342">
        <f>(+'Balance Sheet'!K78)/1000</f>
        <v>0</v>
      </c>
      <c r="G153" s="342">
        <f>(+'Balance Sheet'!L78)/1000</f>
        <v>0</v>
      </c>
      <c r="H153" s="342">
        <f>(+'Balance Sheet'!M78)/1000</f>
        <v>0</v>
      </c>
      <c r="I153" s="342">
        <f>(+'Balance Sheet'!N78)/1000</f>
        <v>257.70644824999999</v>
      </c>
      <c r="J153" s="342">
        <f>(+'Balance Sheet'!O78)/1000</f>
        <v>380.63701099999997</v>
      </c>
      <c r="K153" s="342">
        <f>(+'Balance Sheet'!P78)/1000</f>
        <v>399.32766500000002</v>
      </c>
      <c r="L153" s="342">
        <f>(+'Balance Sheet'!Q78)/1000</f>
        <v>652.66966624999998</v>
      </c>
      <c r="M153" s="342">
        <f>(+'Balance Sheet'!R78)/1000</f>
        <v>1391.6207294000001</v>
      </c>
      <c r="N153" s="342">
        <f>(+'Balance Sheet'!S78)/1000</f>
        <v>1395.7929999999999</v>
      </c>
      <c r="O153" s="342">
        <f>(+'Balance Sheet'!T78)/1000</f>
        <v>1614.395</v>
      </c>
      <c r="P153" s="341">
        <f>(+'Balance Sheet'!U78)/1000</f>
        <v>2306.7111186610464</v>
      </c>
      <c r="Q153" s="341">
        <f>(+'Balance Sheet'!V78)/1000</f>
        <v>2613.485869212649</v>
      </c>
      <c r="R153" s="341">
        <f>(+'Balance Sheet'!W78)/1000</f>
        <v>2429.5695131693928</v>
      </c>
      <c r="S153" s="341">
        <f>(+'Balance Sheet'!X78)/1000</f>
        <v>2520.7231423055737</v>
      </c>
      <c r="T153" s="341">
        <f>(+'Balance Sheet'!Y78)/1000</f>
        <v>2869.7020644443155</v>
      </c>
      <c r="U153" s="341">
        <f>(+'Balance Sheet'!Z78)/1000</f>
        <v>3273.659609769471</v>
      </c>
      <c r="V153" s="323"/>
      <c r="W153" s="344" t="s">
        <v>282</v>
      </c>
      <c r="X153" s="342">
        <f>(+'Balance Sheet'!BE78)/1000</f>
        <v>0</v>
      </c>
      <c r="Y153" s="342">
        <f>(+'Balance Sheet'!BF78+'Balance Sheet'!BE78)/1000</f>
        <v>0</v>
      </c>
      <c r="Z153" s="342">
        <f>+SUM('Balance Sheet'!BE78:BG78)/1000</f>
        <v>0</v>
      </c>
      <c r="AA153" s="342">
        <f>+SUM('Balance Sheet'!BE78:BH78)/1000</f>
        <v>0</v>
      </c>
      <c r="AB153" s="342">
        <f>(+'Balance Sheet'!BI78)/1000</f>
        <v>0</v>
      </c>
      <c r="AC153" s="342">
        <f>+SUM('Balance Sheet'!BI78:BJ78)/1000</f>
        <v>0</v>
      </c>
      <c r="AD153" s="342">
        <f>+SUM('Balance Sheet'!BI78:BK78)/1000</f>
        <v>0</v>
      </c>
      <c r="AE153" s="342">
        <f>+SUM('Balance Sheet'!BI78:BL78)/1000</f>
        <v>0</v>
      </c>
      <c r="AF153" s="342">
        <f>(+'Balance Sheet'!BM78)/1000</f>
        <v>0</v>
      </c>
      <c r="AG153" s="342">
        <f>+SUM('Balance Sheet'!BM78:BN78)/1000</f>
        <v>0</v>
      </c>
      <c r="AH153" s="342">
        <f>+SUM('Balance Sheet'!BM78:BO78)/1000</f>
        <v>0</v>
      </c>
      <c r="AI153" s="342">
        <f>+SUM('Balance Sheet'!BM78:BP78)/1000</f>
        <v>0</v>
      </c>
      <c r="AJ153" s="342">
        <f>(+'Balance Sheet'!BQ78)/1000</f>
        <v>0</v>
      </c>
      <c r="AK153" s="342">
        <f>+SUM('Balance Sheet'!BQ78:BR78)/1000</f>
        <v>0</v>
      </c>
      <c r="AL153" s="342">
        <f>+SUM('Balance Sheet'!BQ78:BS78)/1000</f>
        <v>0</v>
      </c>
      <c r="AM153" s="342">
        <f>+SUM('Balance Sheet'!BQ78:BT78)/1000</f>
        <v>0</v>
      </c>
      <c r="AN153" s="342">
        <f>(+'Balance Sheet'!BU78)/1000</f>
        <v>0</v>
      </c>
      <c r="AO153" s="342">
        <f>+SUM('Balance Sheet'!BU78:BV78)/1000</f>
        <v>0</v>
      </c>
      <c r="AP153" s="342">
        <f>+SUM('Balance Sheet'!BU78:BW78)/1000</f>
        <v>0</v>
      </c>
      <c r="AQ153" s="342">
        <f>+SUM('Balance Sheet'!BU78:BX78)/1000</f>
        <v>0</v>
      </c>
      <c r="AR153" s="342">
        <f>+SUM('Balance Sheet'!BV78:BY78)/1000</f>
        <v>41.008904999999999</v>
      </c>
      <c r="AS153" s="342">
        <f>+SUM('Balance Sheet'!BY78:BZ78)/1000</f>
        <v>107.21831775</v>
      </c>
      <c r="AT153" s="342">
        <f>+SUM('Balance Sheet'!BY78:CA78)/1000</f>
        <v>167.01555525000001</v>
      </c>
      <c r="AU153" s="342">
        <f>+SUM('Balance Sheet'!BY78:CB78)/1000</f>
        <v>257.70644824999999</v>
      </c>
      <c r="AV153" s="342">
        <f>(+'Balance Sheet'!CC78)/1000</f>
        <v>72.204651999999982</v>
      </c>
      <c r="AW153" s="342">
        <f>(+'Balance Sheet'!CD78)/1000</f>
        <v>99.075872000000004</v>
      </c>
      <c r="AX153" s="342">
        <f>+SUM('Balance Sheet'!CC78:CE78)/1000</f>
        <v>271.41592099999997</v>
      </c>
      <c r="AY153" s="342">
        <f>+SUM('Balance Sheet'!CC78:CF78)/1000</f>
        <v>380.63701099999997</v>
      </c>
      <c r="AZ153" s="342">
        <f>(+'Balance Sheet'!CG78)/1000</f>
        <v>65.086055999999999</v>
      </c>
      <c r="BA153" s="342">
        <f>(+'Balance Sheet'!CH78)/1000</f>
        <v>95.90000375000001</v>
      </c>
      <c r="BB153" s="342">
        <f>+SUM('Balance Sheet'!CG78:CI78)/1000</f>
        <v>262.77767299999999</v>
      </c>
      <c r="BC153" s="342">
        <f>+SUM('Balance Sheet'!CG78:CJ78)/1000</f>
        <v>399.32766500000002</v>
      </c>
      <c r="BD153" s="342">
        <f>(+'Balance Sheet'!CK78)/1000</f>
        <v>94.159655999999998</v>
      </c>
      <c r="BE153" s="342">
        <f>+SUM('Balance Sheet'!CK78:CL78)/1000</f>
        <v>245.72234025</v>
      </c>
      <c r="BF153" s="342">
        <f>+SUM('Balance Sheet'!CK78:CM78)/1000</f>
        <v>425.59946724999998</v>
      </c>
      <c r="BG153" s="343">
        <f>+SUM('Balance Sheet'!CK78:CN78)/1000</f>
        <v>652.66966624999998</v>
      </c>
      <c r="BH153" s="342">
        <f>(+'Balance Sheet'!CO78)/1000</f>
        <v>152.42670000000001</v>
      </c>
      <c r="BI153" s="342">
        <f>(+'Balance Sheet'!CP78)/1000</f>
        <v>195.85294725</v>
      </c>
      <c r="BJ153" s="342">
        <f>+SUM('Balance Sheet'!CO78:CQ78)/1000</f>
        <v>582.43555980000008</v>
      </c>
      <c r="BK153" s="342">
        <f>+SUM('Balance Sheet'!CO78:CR78)/1000</f>
        <v>833.11071915000002</v>
      </c>
      <c r="BL153" s="342">
        <f>+SUM('Balance Sheet'!CP78:CS78)/1000</f>
        <v>950.01401914999997</v>
      </c>
      <c r="BM153" s="342">
        <f>+SUM('Balance Sheet'!CS78:CT78)/1000</f>
        <v>562.06799999999998</v>
      </c>
      <c r="BN153" s="342">
        <f>+SUM('Balance Sheet'!CT78:CU78)/1000</f>
        <v>713.45299999999997</v>
      </c>
      <c r="BO153" s="342">
        <f>+SUM('Balance Sheet'!CU78:CV78)/1000</f>
        <v>833.72500000000002</v>
      </c>
      <c r="BP153" s="342">
        <f>(+'Balance Sheet'!CW78)/1000</f>
        <v>371.58</v>
      </c>
      <c r="BQ153" s="342">
        <f>+SUM('Balance Sheet'!CW78:CX78)/1000</f>
        <v>725.27</v>
      </c>
      <c r="BR153" s="342">
        <f>+SUM('Balance Sheet'!CX78:CY78)/1000</f>
        <v>796.45799999999997</v>
      </c>
      <c r="BS153" s="342">
        <f>+SUM('Balance Sheet'!CY78:CZ78)/1000</f>
        <v>889.125</v>
      </c>
      <c r="BT153" s="341">
        <f>(+'Balance Sheet'!DA78)/1000</f>
        <v>529.39369499999998</v>
      </c>
      <c r="BU153" s="341">
        <f>+SUM('Balance Sheet'!DA78:DB78)/1000</f>
        <v>1092.4292380763511</v>
      </c>
      <c r="BV153" s="341">
        <f>+SUM('Balance Sheet'!DA78:DC78)/1000</f>
        <v>1685.2190321833718</v>
      </c>
      <c r="BW153" s="341">
        <f>+SUM('Balance Sheet'!DA78:DD78)/1000</f>
        <v>2306.7111186610464</v>
      </c>
      <c r="BX153" s="341">
        <f>(+'Balance Sheet'!DE78)/1000</f>
        <v>643.83624156783878</v>
      </c>
      <c r="BY153" s="341">
        <f>+SUM('Balance Sheet'!DE78:DF78)/1000</f>
        <v>1308.0034786943286</v>
      </c>
      <c r="BZ153" s="341">
        <f>+SUM('Balance Sheet'!DE78:DG78)/1000</f>
        <v>1971.0659087843503</v>
      </c>
      <c r="CA153" s="341">
        <f>+SUM('Balance Sheet'!DE78:DH78)/1000</f>
        <v>2613.485869212649</v>
      </c>
      <c r="CB153" s="341">
        <f>(+'Balance Sheet'!DI78)/1000</f>
        <v>624.31729606073611</v>
      </c>
      <c r="CC153" s="341">
        <f>+SUM('Balance Sheet'!DI78:DJ78)/1000</f>
        <v>1234.3927438001317</v>
      </c>
      <c r="CD153" s="341">
        <f>+SUM('Balance Sheet'!DI78:DK78)/1000</f>
        <v>1834.8374693482899</v>
      </c>
      <c r="CE153" s="341">
        <f>+SUM('Balance Sheet'!DI78:DL78)/1000</f>
        <v>2429.5695131693928</v>
      </c>
      <c r="CF153" s="341">
        <f>(+'Balance Sheet'!DM78)/1000</f>
        <v>612.46119313926647</v>
      </c>
      <c r="CG153" s="341">
        <f>+SUM('Balance Sheet'!DM78:DN78)/1000</f>
        <v>1234.0314029370302</v>
      </c>
      <c r="CH153" s="341">
        <f>+SUM('Balance Sheet'!DM78:DO78)/1000</f>
        <v>1865.8924808162726</v>
      </c>
      <c r="CI153" s="341">
        <f>+SUM('Balance Sheet'!DM78:DP78)/1000</f>
        <v>2520.7231423055737</v>
      </c>
      <c r="CJ153" s="341">
        <f>(+'Balance Sheet'!DQ78)/1000</f>
        <v>679.1631852800864</v>
      </c>
      <c r="CK153" s="341">
        <f>+SUM('Balance Sheet'!DQ78:DR78)/1000</f>
        <v>1383.714723081795</v>
      </c>
      <c r="CL153" s="341">
        <f>+SUM('Balance Sheet'!DQ78:DS78)/1000</f>
        <v>2113.9804040572876</v>
      </c>
      <c r="CM153" s="341">
        <f>+SUM('Balance Sheet'!DQ78:DT78)/1000</f>
        <v>2869.7020644443155</v>
      </c>
      <c r="CN153" s="341">
        <f>(+'Balance Sheet'!DU78)/1000</f>
        <v>780.99181201361841</v>
      </c>
      <c r="CO153" s="341">
        <f>+SUM('Balance Sheet'!DU78:DV78)/1000</f>
        <v>1586.888101884711</v>
      </c>
      <c r="CP153" s="341">
        <f>+SUM('Balance Sheet'!DU78:DW78)/1000</f>
        <v>2417.6019529777836</v>
      </c>
      <c r="CQ153" s="341">
        <f>+SUM('Balance Sheet'!DU78:DX78)/1000</f>
        <v>3273.659609769471</v>
      </c>
    </row>
    <row r="154" spans="1:95" s="325" customFormat="1" ht="11.25" customHeight="1">
      <c r="A154" s="340" t="s">
        <v>281</v>
      </c>
      <c r="B154" s="338"/>
      <c r="C154" s="338">
        <f t="shared" ref="C154:S154" si="848">+C142</f>
        <v>0</v>
      </c>
      <c r="D154" s="338">
        <f t="shared" si="848"/>
        <v>0</v>
      </c>
      <c r="E154" s="338">
        <f t="shared" si="848"/>
        <v>0</v>
      </c>
      <c r="F154" s="338">
        <f t="shared" si="848"/>
        <v>0</v>
      </c>
      <c r="G154" s="338">
        <f t="shared" si="848"/>
        <v>0</v>
      </c>
      <c r="H154" s="338">
        <f t="shared" si="848"/>
        <v>0</v>
      </c>
      <c r="I154" s="338">
        <f t="shared" si="848"/>
        <v>533.2703758171001</v>
      </c>
      <c r="J154" s="338">
        <f t="shared" si="848"/>
        <v>589.18315986928008</v>
      </c>
      <c r="K154" s="338">
        <f t="shared" si="848"/>
        <v>698.65744024776006</v>
      </c>
      <c r="L154" s="338">
        <f t="shared" si="848"/>
        <v>949.52315115299996</v>
      </c>
      <c r="M154" s="338">
        <f t="shared" si="848"/>
        <v>1437.2196741747</v>
      </c>
      <c r="N154" s="338">
        <f t="shared" si="848"/>
        <v>2009.1089999999999</v>
      </c>
      <c r="O154" s="338">
        <f t="shared" si="848"/>
        <v>2310.8539999999998</v>
      </c>
      <c r="P154" s="337">
        <f t="shared" si="848"/>
        <v>2398.6651488455864</v>
      </c>
      <c r="Q154" s="337">
        <f t="shared" si="848"/>
        <v>2571.5568804804311</v>
      </c>
      <c r="R154" s="337">
        <f t="shared" si="848"/>
        <v>2880.4238332664127</v>
      </c>
      <c r="S154" s="337">
        <f t="shared" si="848"/>
        <v>3269.2257398031729</v>
      </c>
      <c r="T154" s="337">
        <f t="shared" ref="T154:U154" si="849">+T142</f>
        <v>3719.5045638418501</v>
      </c>
      <c r="U154" s="337">
        <f t="shared" si="849"/>
        <v>4234.7151391586312</v>
      </c>
      <c r="V154" s="323"/>
      <c r="W154" s="340" t="s">
        <v>281</v>
      </c>
      <c r="X154" s="338">
        <f t="shared" ref="X154:BC154" si="850">+X142</f>
        <v>0</v>
      </c>
      <c r="Y154" s="338">
        <f t="shared" si="850"/>
        <v>0</v>
      </c>
      <c r="Z154" s="338">
        <f t="shared" si="850"/>
        <v>0</v>
      </c>
      <c r="AA154" s="338">
        <f t="shared" si="850"/>
        <v>0</v>
      </c>
      <c r="AB154" s="338">
        <f t="shared" si="850"/>
        <v>0</v>
      </c>
      <c r="AC154" s="338">
        <f t="shared" si="850"/>
        <v>0</v>
      </c>
      <c r="AD154" s="338">
        <f t="shared" si="850"/>
        <v>0</v>
      </c>
      <c r="AE154" s="338">
        <f t="shared" si="850"/>
        <v>0</v>
      </c>
      <c r="AF154" s="338">
        <f t="shared" si="850"/>
        <v>0</v>
      </c>
      <c r="AG154" s="338">
        <f t="shared" si="850"/>
        <v>0</v>
      </c>
      <c r="AH154" s="338">
        <f t="shared" si="850"/>
        <v>0</v>
      </c>
      <c r="AI154" s="338">
        <f t="shared" si="850"/>
        <v>0</v>
      </c>
      <c r="AJ154" s="338">
        <f t="shared" si="850"/>
        <v>0</v>
      </c>
      <c r="AK154" s="338">
        <f t="shared" si="850"/>
        <v>0</v>
      </c>
      <c r="AL154" s="338">
        <f t="shared" si="850"/>
        <v>0</v>
      </c>
      <c r="AM154" s="338">
        <f t="shared" si="850"/>
        <v>0</v>
      </c>
      <c r="AN154" s="338">
        <f t="shared" si="850"/>
        <v>0</v>
      </c>
      <c r="AO154" s="338">
        <f t="shared" si="850"/>
        <v>0</v>
      </c>
      <c r="AP154" s="338">
        <f t="shared" si="850"/>
        <v>0</v>
      </c>
      <c r="AQ154" s="338">
        <f t="shared" si="850"/>
        <v>0</v>
      </c>
      <c r="AR154" s="338">
        <f t="shared" si="850"/>
        <v>369.84656234110003</v>
      </c>
      <c r="AS154" s="338">
        <f t="shared" si="850"/>
        <v>441.64879729180001</v>
      </c>
      <c r="AT154" s="338">
        <f t="shared" si="850"/>
        <v>478.45094161899999</v>
      </c>
      <c r="AU154" s="338">
        <f t="shared" si="850"/>
        <v>533.2703758171001</v>
      </c>
      <c r="AV154" s="338">
        <f t="shared" si="850"/>
        <v>612.94634964986994</v>
      </c>
      <c r="AW154" s="338">
        <f t="shared" si="850"/>
        <v>610.05034750554012</v>
      </c>
      <c r="AX154" s="338">
        <f t="shared" si="850"/>
        <v>594.39662056032</v>
      </c>
      <c r="AY154" s="338">
        <f t="shared" si="850"/>
        <v>589.18315986928008</v>
      </c>
      <c r="AZ154" s="338">
        <f t="shared" si="850"/>
        <v>642.62505433907984</v>
      </c>
      <c r="BA154" s="338">
        <f t="shared" si="850"/>
        <v>666.65684926750009</v>
      </c>
      <c r="BB154" s="338">
        <f t="shared" si="850"/>
        <v>700.58201326434005</v>
      </c>
      <c r="BC154" s="338">
        <f t="shared" si="850"/>
        <v>698.65744024776006</v>
      </c>
      <c r="BD154" s="338">
        <f t="shared" ref="BD154:CI154" si="851">+BD142</f>
        <v>800.34040706045994</v>
      </c>
      <c r="BE154" s="338">
        <f t="shared" si="851"/>
        <v>895.2690398753698</v>
      </c>
      <c r="BF154" s="338">
        <f t="shared" si="851"/>
        <v>910.56909335682008</v>
      </c>
      <c r="BG154" s="339">
        <f t="shared" si="851"/>
        <v>949.52315115299996</v>
      </c>
      <c r="BH154" s="338">
        <f t="shared" si="851"/>
        <v>1106.6701232453102</v>
      </c>
      <c r="BI154" s="338">
        <f t="shared" ref="BI154" si="852">+BI142</f>
        <v>1251.6750377708202</v>
      </c>
      <c r="BJ154" s="338">
        <f t="shared" si="851"/>
        <v>1359.5013612052601</v>
      </c>
      <c r="BK154" s="338">
        <f t="shared" si="851"/>
        <v>1437.2196741747</v>
      </c>
      <c r="BL154" s="338">
        <f t="shared" ref="BL154" si="853">+BL142</f>
        <v>1824.14</v>
      </c>
      <c r="BM154" s="338">
        <f t="shared" si="851"/>
        <v>1940.155</v>
      </c>
      <c r="BN154" s="338">
        <f t="shared" ref="BN154:BO154" si="854">+BN142</f>
        <v>1961.895</v>
      </c>
      <c r="BO154" s="338">
        <f t="shared" si="854"/>
        <v>2009.1089999999999</v>
      </c>
      <c r="BP154" s="338">
        <f t="shared" si="851"/>
        <v>2107.8290000000002</v>
      </c>
      <c r="BQ154" s="338">
        <f t="shared" si="851"/>
        <v>2275.38</v>
      </c>
      <c r="BR154" s="338">
        <f t="shared" ref="BR154:BS154" si="855">+BR142</f>
        <v>2256.6550000000002</v>
      </c>
      <c r="BS154" s="338">
        <f t="shared" si="855"/>
        <v>2310.8539999999998</v>
      </c>
      <c r="BT154" s="337">
        <f t="shared" si="851"/>
        <v>2396.2273860121159</v>
      </c>
      <c r="BU154" s="337">
        <f t="shared" si="851"/>
        <v>2291.3207500753442</v>
      </c>
      <c r="BV154" s="337">
        <f t="shared" si="851"/>
        <v>2431.526784203133</v>
      </c>
      <c r="BW154" s="337">
        <f t="shared" si="851"/>
        <v>2398.6651488455864</v>
      </c>
      <c r="BX154" s="337">
        <f t="shared" si="851"/>
        <v>2526.8359177923753</v>
      </c>
      <c r="BY154" s="337">
        <f t="shared" si="851"/>
        <v>2488.154125408395</v>
      </c>
      <c r="BZ154" s="337">
        <f t="shared" si="851"/>
        <v>2603.5101852903667</v>
      </c>
      <c r="CA154" s="337">
        <f t="shared" si="851"/>
        <v>2571.5568804804311</v>
      </c>
      <c r="CB154" s="337">
        <f t="shared" si="851"/>
        <v>2671.3875473392518</v>
      </c>
      <c r="CC154" s="337">
        <f t="shared" si="851"/>
        <v>2702.3879676752999</v>
      </c>
      <c r="CD154" s="337">
        <f t="shared" si="851"/>
        <v>2852.1948683103028</v>
      </c>
      <c r="CE154" s="337">
        <f t="shared" si="851"/>
        <v>2880.4238332664127</v>
      </c>
      <c r="CF154" s="337">
        <f t="shared" si="851"/>
        <v>3023.9208444851652</v>
      </c>
      <c r="CG154" s="337">
        <f t="shared" si="851"/>
        <v>3067.2927270052019</v>
      </c>
      <c r="CH154" s="337">
        <f t="shared" si="851"/>
        <v>3217.356060566739</v>
      </c>
      <c r="CI154" s="337">
        <f t="shared" si="851"/>
        <v>3269.2257398031729</v>
      </c>
      <c r="CJ154" s="337">
        <f t="shared" ref="CJ154:CM154" si="856">+CJ142</f>
        <v>3410.1051456584833</v>
      </c>
      <c r="CK154" s="337">
        <f t="shared" si="856"/>
        <v>3480.815288197346</v>
      </c>
      <c r="CL154" s="337">
        <f t="shared" si="856"/>
        <v>3627.4107774267363</v>
      </c>
      <c r="CM154" s="337">
        <f t="shared" si="856"/>
        <v>3719.5045638418501</v>
      </c>
      <c r="CN154" s="337">
        <f t="shared" ref="CN154:CQ154" si="857">+CN142</f>
        <v>3846.0138071047313</v>
      </c>
      <c r="CO154" s="337">
        <f t="shared" si="857"/>
        <v>3962.6581938014833</v>
      </c>
      <c r="CP154" s="337">
        <f t="shared" si="857"/>
        <v>4095.7405685487665</v>
      </c>
      <c r="CQ154" s="337">
        <f t="shared" si="857"/>
        <v>4234.7151391586312</v>
      </c>
    </row>
    <row r="155" spans="1:95" s="325" customFormat="1" ht="11.25" customHeight="1">
      <c r="A155" s="336" t="s">
        <v>280</v>
      </c>
      <c r="B155" s="334"/>
      <c r="C155" s="334"/>
      <c r="D155" s="334" t="e">
        <f t="shared" ref="D155:U155" si="858">+D154/C154-1</f>
        <v>#DIV/0!</v>
      </c>
      <c r="E155" s="334" t="e">
        <f t="shared" si="858"/>
        <v>#DIV/0!</v>
      </c>
      <c r="F155" s="334" t="e">
        <f t="shared" si="858"/>
        <v>#DIV/0!</v>
      </c>
      <c r="G155" s="334" t="e">
        <f t="shared" si="858"/>
        <v>#DIV/0!</v>
      </c>
      <c r="H155" s="334" t="e">
        <f t="shared" si="858"/>
        <v>#DIV/0!</v>
      </c>
      <c r="I155" s="334" t="e">
        <f t="shared" si="858"/>
        <v>#DIV/0!</v>
      </c>
      <c r="J155" s="334">
        <f t="shared" si="858"/>
        <v>0.10484884701594011</v>
      </c>
      <c r="K155" s="334">
        <f t="shared" si="858"/>
        <v>0.18580687269264229</v>
      </c>
      <c r="L155" s="334">
        <f t="shared" si="858"/>
        <v>0.35906825928351549</v>
      </c>
      <c r="M155" s="334">
        <f t="shared" si="858"/>
        <v>0.51362257195045036</v>
      </c>
      <c r="N155" s="334">
        <f t="shared" si="858"/>
        <v>0.39791364959827602</v>
      </c>
      <c r="O155" s="334">
        <f t="shared" si="858"/>
        <v>0.15018846662873941</v>
      </c>
      <c r="P155" s="333">
        <f t="shared" si="858"/>
        <v>3.799943607237255E-2</v>
      </c>
      <c r="Q155" s="333">
        <f t="shared" si="858"/>
        <v>7.2078310604568152E-2</v>
      </c>
      <c r="R155" s="333">
        <f t="shared" si="858"/>
        <v>0.1201089328921543</v>
      </c>
      <c r="S155" s="333">
        <f t="shared" si="858"/>
        <v>0.13498079763347093</v>
      </c>
      <c r="T155" s="333">
        <f t="shared" si="858"/>
        <v>0.13773255806611462</v>
      </c>
      <c r="U155" s="333">
        <f t="shared" si="858"/>
        <v>0.13851591427666476</v>
      </c>
      <c r="V155" s="323"/>
      <c r="W155" s="336" t="s">
        <v>280</v>
      </c>
      <c r="X155" s="334">
        <v>0</v>
      </c>
      <c r="Y155" s="334" t="e">
        <f t="shared" ref="Y155:BD155" si="859">+Y154/X154-1</f>
        <v>#DIV/0!</v>
      </c>
      <c r="Z155" s="334" t="e">
        <f t="shared" si="859"/>
        <v>#DIV/0!</v>
      </c>
      <c r="AA155" s="334" t="e">
        <f t="shared" si="859"/>
        <v>#DIV/0!</v>
      </c>
      <c r="AB155" s="334" t="e">
        <f t="shared" si="859"/>
        <v>#DIV/0!</v>
      </c>
      <c r="AC155" s="334" t="e">
        <f t="shared" si="859"/>
        <v>#DIV/0!</v>
      </c>
      <c r="AD155" s="334" t="e">
        <f t="shared" si="859"/>
        <v>#DIV/0!</v>
      </c>
      <c r="AE155" s="334" t="e">
        <f t="shared" si="859"/>
        <v>#DIV/0!</v>
      </c>
      <c r="AF155" s="334" t="e">
        <f t="shared" si="859"/>
        <v>#DIV/0!</v>
      </c>
      <c r="AG155" s="334" t="e">
        <f t="shared" si="859"/>
        <v>#DIV/0!</v>
      </c>
      <c r="AH155" s="334" t="e">
        <f t="shared" si="859"/>
        <v>#DIV/0!</v>
      </c>
      <c r="AI155" s="334" t="e">
        <f t="shared" si="859"/>
        <v>#DIV/0!</v>
      </c>
      <c r="AJ155" s="334" t="e">
        <f t="shared" si="859"/>
        <v>#DIV/0!</v>
      </c>
      <c r="AK155" s="334" t="e">
        <f t="shared" si="859"/>
        <v>#DIV/0!</v>
      </c>
      <c r="AL155" s="334" t="e">
        <f t="shared" si="859"/>
        <v>#DIV/0!</v>
      </c>
      <c r="AM155" s="334" t="e">
        <f t="shared" si="859"/>
        <v>#DIV/0!</v>
      </c>
      <c r="AN155" s="334" t="e">
        <f t="shared" si="859"/>
        <v>#DIV/0!</v>
      </c>
      <c r="AO155" s="334" t="e">
        <f t="shared" si="859"/>
        <v>#DIV/0!</v>
      </c>
      <c r="AP155" s="334" t="e">
        <f t="shared" si="859"/>
        <v>#DIV/0!</v>
      </c>
      <c r="AQ155" s="334" t="e">
        <f t="shared" si="859"/>
        <v>#DIV/0!</v>
      </c>
      <c r="AR155" s="334" t="e">
        <f t="shared" si="859"/>
        <v>#DIV/0!</v>
      </c>
      <c r="AS155" s="334">
        <f t="shared" si="859"/>
        <v>0.19414060386609355</v>
      </c>
      <c r="AT155" s="334">
        <f t="shared" si="859"/>
        <v>8.3328981201514774E-2</v>
      </c>
      <c r="AU155" s="334">
        <f t="shared" si="859"/>
        <v>0.1145769177767737</v>
      </c>
      <c r="AV155" s="334">
        <f t="shared" si="859"/>
        <v>0.14941008810153167</v>
      </c>
      <c r="AW155" s="334">
        <f t="shared" si="859"/>
        <v>-4.7247236988752217E-3</v>
      </c>
      <c r="AX155" s="334">
        <f t="shared" si="859"/>
        <v>-2.5659729576791968E-2</v>
      </c>
      <c r="AY155" s="334">
        <f t="shared" si="859"/>
        <v>-8.7710133448022365E-3</v>
      </c>
      <c r="AZ155" s="334">
        <f t="shared" si="859"/>
        <v>9.0705061023225397E-2</v>
      </c>
      <c r="BA155" s="334">
        <f t="shared" si="859"/>
        <v>3.7396293166839234E-2</v>
      </c>
      <c r="BB155" s="334">
        <f t="shared" si="859"/>
        <v>5.0888495384268095E-2</v>
      </c>
      <c r="BC155" s="334">
        <f t="shared" si="859"/>
        <v>-2.747105949255646E-3</v>
      </c>
      <c r="BD155" s="334">
        <f t="shared" si="859"/>
        <v>0.14554051950930447</v>
      </c>
      <c r="BE155" s="334">
        <f t="shared" ref="BE155:CI155" si="860">+BE154/BD154-1</f>
        <v>0.11861032128012838</v>
      </c>
      <c r="BF155" s="334">
        <f t="shared" si="860"/>
        <v>1.7089894545644357E-2</v>
      </c>
      <c r="BG155" s="335">
        <f t="shared" si="860"/>
        <v>4.2779903337785585E-2</v>
      </c>
      <c r="BH155" s="334">
        <f t="shared" si="860"/>
        <v>0.16550093791972076</v>
      </c>
      <c r="BI155" s="334">
        <f t="shared" si="860"/>
        <v>0.13102812796669983</v>
      </c>
      <c r="BJ155" s="334">
        <f t="shared" si="860"/>
        <v>8.6145621012362783E-2</v>
      </c>
      <c r="BK155" s="334">
        <f t="shared" si="860"/>
        <v>5.716677834036088E-2</v>
      </c>
      <c r="BL155" s="334">
        <f t="shared" si="860"/>
        <v>0.26921446510776637</v>
      </c>
      <c r="BM155" s="334">
        <f t="shared" si="860"/>
        <v>6.3599833346124734E-2</v>
      </c>
      <c r="BN155" s="334">
        <f t="shared" si="860"/>
        <v>1.1205290298970993E-2</v>
      </c>
      <c r="BO155" s="334">
        <f t="shared" si="860"/>
        <v>2.4065508092940835E-2</v>
      </c>
      <c r="BP155" s="334">
        <f t="shared" si="860"/>
        <v>4.9136209135492548E-2</v>
      </c>
      <c r="BQ155" s="334">
        <f t="shared" si="860"/>
        <v>7.9489844764447204E-2</v>
      </c>
      <c r="BR155" s="334">
        <f t="shared" si="860"/>
        <v>-8.229394650563826E-3</v>
      </c>
      <c r="BS155" s="334">
        <f t="shared" si="860"/>
        <v>2.4017406293828536E-2</v>
      </c>
      <c r="BT155" s="333">
        <f t="shared" si="860"/>
        <v>3.6944517486659167E-2</v>
      </c>
      <c r="BU155" s="333">
        <f t="shared" si="860"/>
        <v>-4.3779916943258446E-2</v>
      </c>
      <c r="BV155" s="333">
        <f t="shared" si="860"/>
        <v>6.1190051250213928E-2</v>
      </c>
      <c r="BW155" s="333">
        <f t="shared" si="860"/>
        <v>-1.3514815288500404E-2</v>
      </c>
      <c r="BX155" s="333">
        <f t="shared" si="860"/>
        <v>5.3434206524605621E-2</v>
      </c>
      <c r="BY155" s="333">
        <f t="shared" si="860"/>
        <v>-1.5308391063941995E-2</v>
      </c>
      <c r="BZ155" s="333">
        <f t="shared" si="860"/>
        <v>4.6362103819849843E-2</v>
      </c>
      <c r="CA155" s="333">
        <f t="shared" si="860"/>
        <v>-1.2273162974536955E-2</v>
      </c>
      <c r="CB155" s="333">
        <f t="shared" si="860"/>
        <v>3.8821100017888632E-2</v>
      </c>
      <c r="CC155" s="333">
        <f t="shared" si="860"/>
        <v>1.1604613627448135E-2</v>
      </c>
      <c r="CD155" s="333">
        <f t="shared" si="860"/>
        <v>5.5435008750380321E-2</v>
      </c>
      <c r="CE155" s="333">
        <f t="shared" si="860"/>
        <v>9.8972778016508389E-3</v>
      </c>
      <c r="CF155" s="333">
        <f t="shared" si="860"/>
        <v>4.9818019682202896E-2</v>
      </c>
      <c r="CG155" s="333">
        <f t="shared" si="860"/>
        <v>1.4342929180549024E-2</v>
      </c>
      <c r="CH155" s="333">
        <f t="shared" si="860"/>
        <v>4.8923707946210149E-2</v>
      </c>
      <c r="CI155" s="333">
        <f t="shared" si="860"/>
        <v>1.6121833660927454E-2</v>
      </c>
      <c r="CJ155" s="333">
        <f t="shared" ref="CJ155" si="861">+CJ154/CI154-1</f>
        <v>4.3092590438184919E-2</v>
      </c>
      <c r="CK155" s="333">
        <f t="shared" ref="CK155" si="862">+CK154/CJ154-1</f>
        <v>2.0735472813466327E-2</v>
      </c>
      <c r="CL155" s="333">
        <f t="shared" ref="CL155" si="863">+CL154/CK154-1</f>
        <v>4.2115273891855765E-2</v>
      </c>
      <c r="CM155" s="333">
        <f t="shared" ref="CM155" si="864">+CM154/CL154-1</f>
        <v>2.5388298173510071E-2</v>
      </c>
      <c r="CN155" s="333">
        <f t="shared" ref="CN155" si="865">+CN154/CM154-1</f>
        <v>3.4012390922357305E-2</v>
      </c>
      <c r="CO155" s="333">
        <f t="shared" ref="CO155" si="866">+CO154/CN154-1</f>
        <v>3.0328644811746353E-2</v>
      </c>
      <c r="CP155" s="333">
        <f t="shared" ref="CP155" si="867">+CP154/CO154-1</f>
        <v>3.3584116579990386E-2</v>
      </c>
      <c r="CQ155" s="333">
        <f t="shared" ref="CQ155" si="868">+CQ154/CP154-1</f>
        <v>3.3931487672107963E-2</v>
      </c>
    </row>
    <row r="156" spans="1:95" s="325" customFormat="1" ht="11.25" customHeight="1">
      <c r="A156" s="331" t="s">
        <v>279</v>
      </c>
      <c r="B156" s="331"/>
      <c r="C156" s="331" t="e">
        <f t="shared" ref="C156:S156" si="869">+C150/C133</f>
        <v>#DIV/0!</v>
      </c>
      <c r="D156" s="331" t="e">
        <f t="shared" si="869"/>
        <v>#DIV/0!</v>
      </c>
      <c r="E156" s="331" t="e">
        <f t="shared" si="869"/>
        <v>#DIV/0!</v>
      </c>
      <c r="F156" s="331" t="e">
        <f t="shared" si="869"/>
        <v>#DIV/0!</v>
      </c>
      <c r="G156" s="331" t="e">
        <f t="shared" si="869"/>
        <v>#DIV/0!</v>
      </c>
      <c r="H156" s="331" t="e">
        <f t="shared" si="869"/>
        <v>#DIV/0!</v>
      </c>
      <c r="I156" s="331">
        <f t="shared" si="869"/>
        <v>4.7209371814579411E-2</v>
      </c>
      <c r="J156" s="331">
        <f t="shared" si="869"/>
        <v>1.180817639208032E-2</v>
      </c>
      <c r="K156" s="331">
        <f t="shared" si="869"/>
        <v>1.1635524618480036E-2</v>
      </c>
      <c r="L156" s="331">
        <f t="shared" si="869"/>
        <v>1.7752786324302959E-2</v>
      </c>
      <c r="M156" s="331">
        <f t="shared" si="869"/>
        <v>3.1569414365341317E-2</v>
      </c>
      <c r="N156" s="331">
        <f t="shared" si="869"/>
        <v>2.7294009761788137E-2</v>
      </c>
      <c r="O156" s="331">
        <f t="shared" si="869"/>
        <v>2.2513893573473855E-2</v>
      </c>
      <c r="P156" s="330">
        <f t="shared" si="869"/>
        <v>2.4985569385039326E-2</v>
      </c>
      <c r="Q156" s="330">
        <f t="shared" si="869"/>
        <v>2.5789829792617257E-2</v>
      </c>
      <c r="R156" s="330">
        <f t="shared" si="869"/>
        <v>2.2440296079217808E-2</v>
      </c>
      <c r="S156" s="330">
        <f t="shared" si="869"/>
        <v>2.1132450259488244E-2</v>
      </c>
      <c r="T156" s="330">
        <f t="shared" ref="T156:U156" si="870">+T150/T133</f>
        <v>2.1298222400198387E-2</v>
      </c>
      <c r="U156" s="330">
        <f t="shared" si="870"/>
        <v>2.1373702744457376E-2</v>
      </c>
      <c r="V156" s="323"/>
      <c r="W156" s="331" t="s">
        <v>279</v>
      </c>
      <c r="X156" s="331">
        <v>0</v>
      </c>
      <c r="Y156" s="331" t="e">
        <f t="shared" ref="Y156:BD156" si="871">+Y150/Y133</f>
        <v>#DIV/0!</v>
      </c>
      <c r="Z156" s="331" t="e">
        <f t="shared" si="871"/>
        <v>#DIV/0!</v>
      </c>
      <c r="AA156" s="331" t="e">
        <f t="shared" si="871"/>
        <v>#DIV/0!</v>
      </c>
      <c r="AB156" s="331" t="e">
        <f t="shared" si="871"/>
        <v>#DIV/0!</v>
      </c>
      <c r="AC156" s="331" t="e">
        <f t="shared" si="871"/>
        <v>#DIV/0!</v>
      </c>
      <c r="AD156" s="331" t="e">
        <f t="shared" si="871"/>
        <v>#DIV/0!</v>
      </c>
      <c r="AE156" s="331" t="e">
        <f t="shared" si="871"/>
        <v>#DIV/0!</v>
      </c>
      <c r="AF156" s="331" t="e">
        <f t="shared" si="871"/>
        <v>#DIV/0!</v>
      </c>
      <c r="AG156" s="331" t="e">
        <f t="shared" si="871"/>
        <v>#DIV/0!</v>
      </c>
      <c r="AH156" s="331" t="e">
        <f t="shared" si="871"/>
        <v>#DIV/0!</v>
      </c>
      <c r="AI156" s="331" t="e">
        <f t="shared" si="871"/>
        <v>#DIV/0!</v>
      </c>
      <c r="AJ156" s="331" t="e">
        <f t="shared" si="871"/>
        <v>#DIV/0!</v>
      </c>
      <c r="AK156" s="331" t="e">
        <f t="shared" si="871"/>
        <v>#DIV/0!</v>
      </c>
      <c r="AL156" s="331" t="e">
        <f t="shared" si="871"/>
        <v>#DIV/0!</v>
      </c>
      <c r="AM156" s="331" t="e">
        <f t="shared" si="871"/>
        <v>#DIV/0!</v>
      </c>
      <c r="AN156" s="331" t="e">
        <f t="shared" si="871"/>
        <v>#DIV/0!</v>
      </c>
      <c r="AO156" s="331" t="e">
        <f t="shared" si="871"/>
        <v>#DIV/0!</v>
      </c>
      <c r="AP156" s="331" t="e">
        <f t="shared" si="871"/>
        <v>#DIV/0!</v>
      </c>
      <c r="AQ156" s="331" t="e">
        <f t="shared" si="871"/>
        <v>#DIV/0!</v>
      </c>
      <c r="AR156" s="331">
        <f t="shared" si="871"/>
        <v>2.5687651047852356E-2</v>
      </c>
      <c r="AS156" s="331">
        <f t="shared" si="871"/>
        <v>5.6026508517522024E-3</v>
      </c>
      <c r="AT156" s="331">
        <f t="shared" si="871"/>
        <v>6.5008296516980701E-3</v>
      </c>
      <c r="AU156" s="331">
        <f t="shared" si="871"/>
        <v>9.7212684703599714E-3</v>
      </c>
      <c r="AV156" s="331">
        <f t="shared" si="871"/>
        <v>4.5080370685440605E-3</v>
      </c>
      <c r="AW156" s="331">
        <f t="shared" si="871"/>
        <v>2.7575986075790348E-3</v>
      </c>
      <c r="AX156" s="331">
        <f t="shared" si="871"/>
        <v>6.9827903866889482E-3</v>
      </c>
      <c r="AY156" s="331">
        <f t="shared" si="871"/>
        <v>9.6506753866279372E-3</v>
      </c>
      <c r="AZ156" s="331">
        <f t="shared" si="871"/>
        <v>2.9056125203599258E-3</v>
      </c>
      <c r="BA156" s="331">
        <f t="shared" si="871"/>
        <v>2.7993866233554251E-3</v>
      </c>
      <c r="BB156" s="331">
        <f t="shared" si="871"/>
        <v>6.5926281985396462E-3</v>
      </c>
      <c r="BC156" s="331">
        <f t="shared" si="871"/>
        <v>8.5919031159778034E-3</v>
      </c>
      <c r="BD156" s="331">
        <f t="shared" si="871"/>
        <v>4.11072270868202E-3</v>
      </c>
      <c r="BE156" s="331">
        <f t="shared" ref="BE156:CI156" si="872">+BE150/BE133</f>
        <v>6.8385028117599438E-3</v>
      </c>
      <c r="BF156" s="331">
        <f t="shared" si="872"/>
        <v>8.4726369861396322E-3</v>
      </c>
      <c r="BG156" s="332">
        <f t="shared" si="872"/>
        <v>1.2870774194427339E-2</v>
      </c>
      <c r="BH156" s="331">
        <f t="shared" si="872"/>
        <v>5.5839833632631937E-3</v>
      </c>
      <c r="BI156" s="331">
        <f t="shared" ref="BI156" si="873">+BI150/BI133</f>
        <v>5.9013720286210485E-3</v>
      </c>
      <c r="BJ156" s="331">
        <f t="shared" si="872"/>
        <v>1.1337855718184183E-2</v>
      </c>
      <c r="BK156" s="331">
        <f t="shared" si="872"/>
        <v>1.4383128151355272E-2</v>
      </c>
      <c r="BL156" s="331">
        <f t="shared" ref="BL156" si="874">+BL150/BL133</f>
        <v>1.9844439544096475E-2</v>
      </c>
      <c r="BM156" s="331">
        <f t="shared" si="872"/>
        <v>9.4235688685174457E-3</v>
      </c>
      <c r="BN156" s="331">
        <f t="shared" ref="BN156:BO156" si="875">+BN150/BN133</f>
        <v>9.8587361872956719E-3</v>
      </c>
      <c r="BO156" s="331">
        <f t="shared" si="875"/>
        <v>1.1325270099719287E-2</v>
      </c>
      <c r="BP156" s="331">
        <f t="shared" si="872"/>
        <v>5.823763805674489E-3</v>
      </c>
      <c r="BQ156" s="331">
        <f t="shared" si="872"/>
        <v>1.08139501399358E-2</v>
      </c>
      <c r="BR156" s="331">
        <f t="shared" ref="BR156:BS156" si="876">+BR150/BR133</f>
        <v>9.0779293922068835E-3</v>
      </c>
      <c r="BS156" s="331">
        <f t="shared" si="876"/>
        <v>1.0588962281662716E-2</v>
      </c>
      <c r="BT156" s="330">
        <f t="shared" si="872"/>
        <v>6.5653452651227113E-3</v>
      </c>
      <c r="BU156" s="330">
        <f t="shared" si="872"/>
        <v>1.025937224165495E-2</v>
      </c>
      <c r="BV156" s="330">
        <f t="shared" si="872"/>
        <v>1.8475792280023655E-2</v>
      </c>
      <c r="BW156" s="330">
        <f t="shared" si="872"/>
        <v>2.2360345863948215E-2</v>
      </c>
      <c r="BX156" s="330">
        <f t="shared" si="872"/>
        <v>7.3797415798816327E-3</v>
      </c>
      <c r="BY156" s="330">
        <f t="shared" si="872"/>
        <v>1.1761981764929491E-2</v>
      </c>
      <c r="BZ156" s="330">
        <f t="shared" si="872"/>
        <v>1.8747927401978944E-2</v>
      </c>
      <c r="CA156" s="330">
        <f t="shared" si="872"/>
        <v>2.2510695199317178E-2</v>
      </c>
      <c r="CB156" s="330">
        <f t="shared" si="872"/>
        <v>6.1410380683964063E-3</v>
      </c>
      <c r="CC156" s="330">
        <f t="shared" si="872"/>
        <v>1.0415091228022401E-2</v>
      </c>
      <c r="CD156" s="330">
        <f t="shared" si="872"/>
        <v>1.585844670163945E-2</v>
      </c>
      <c r="CE156" s="330">
        <f t="shared" si="872"/>
        <v>1.9072898889556128E-2</v>
      </c>
      <c r="CF156" s="330">
        <f t="shared" si="872"/>
        <v>5.7043791503363006E-3</v>
      </c>
      <c r="CG156" s="330">
        <f t="shared" si="872"/>
        <v>9.3501543005668278E-3</v>
      </c>
      <c r="CH156" s="330">
        <f t="shared" si="872"/>
        <v>1.4321444644470497E-2</v>
      </c>
      <c r="CI156" s="330">
        <f t="shared" si="872"/>
        <v>1.773900835713485E-2</v>
      </c>
      <c r="CJ156" s="330">
        <f t="shared" ref="CJ156:CM156" si="877">+CJ150/CJ133</f>
        <v>5.4961854946528974E-3</v>
      </c>
      <c r="CK156" s="330">
        <f t="shared" si="877"/>
        <v>9.4501859556885889E-3</v>
      </c>
      <c r="CL156" s="330">
        <f t="shared" si="877"/>
        <v>1.4255424247510777E-2</v>
      </c>
      <c r="CM156" s="330">
        <f t="shared" si="877"/>
        <v>1.8090753666745805E-2</v>
      </c>
      <c r="CN156" s="330">
        <f t="shared" ref="CN156:CQ156" si="878">+CN150/CN133</f>
        <v>5.3815250610869956E-3</v>
      </c>
      <c r="CO156" s="330">
        <f t="shared" si="878"/>
        <v>9.7814035246759825E-3</v>
      </c>
      <c r="CP156" s="330">
        <f t="shared" si="878"/>
        <v>1.4195912282396332E-2</v>
      </c>
      <c r="CQ156" s="330">
        <f t="shared" si="878"/>
        <v>1.8377881296605836E-2</v>
      </c>
    </row>
    <row r="157" spans="1:95" s="325" customFormat="1">
      <c r="O157" s="326"/>
      <c r="P157" s="326"/>
      <c r="Q157" s="326"/>
      <c r="R157" s="326"/>
      <c r="S157" s="326"/>
      <c r="T157" s="326"/>
      <c r="U157" s="326"/>
      <c r="V157" s="323"/>
      <c r="BG157" s="327"/>
      <c r="BL157" s="326"/>
      <c r="BM157" s="326"/>
      <c r="BN157" s="326"/>
      <c r="BO157" s="326"/>
      <c r="BP157" s="326"/>
      <c r="BT157" s="326"/>
      <c r="BU157" s="326"/>
      <c r="BV157" s="326"/>
      <c r="BW157" s="326"/>
      <c r="BX157" s="326"/>
      <c r="BY157" s="326"/>
      <c r="BZ157" s="326"/>
      <c r="CA157" s="326"/>
      <c r="CB157" s="326"/>
      <c r="CC157" s="326"/>
      <c r="CD157" s="326"/>
      <c r="CE157" s="326"/>
      <c r="CF157" s="326"/>
      <c r="CG157" s="326"/>
      <c r="CH157" s="326"/>
      <c r="CI157" s="326"/>
      <c r="CJ157" s="326"/>
      <c r="CK157" s="326"/>
      <c r="CL157" s="326"/>
      <c r="CM157" s="326"/>
      <c r="CN157" s="326"/>
      <c r="CO157" s="326"/>
      <c r="CP157" s="326"/>
      <c r="CQ157" s="326"/>
    </row>
    <row r="158" spans="1:95" s="556" customFormat="1" ht="10.199999999999999" hidden="1">
      <c r="A158" s="556" t="s">
        <v>278</v>
      </c>
      <c r="B158" s="556">
        <v>2</v>
      </c>
      <c r="C158" s="556">
        <f t="shared" ref="C158:U158" si="879">B158+1</f>
        <v>3</v>
      </c>
      <c r="D158" s="556">
        <f t="shared" si="879"/>
        <v>4</v>
      </c>
      <c r="E158" s="556">
        <f t="shared" si="879"/>
        <v>5</v>
      </c>
      <c r="F158" s="556">
        <f t="shared" si="879"/>
        <v>6</v>
      </c>
      <c r="G158" s="556">
        <f t="shared" si="879"/>
        <v>7</v>
      </c>
      <c r="H158" s="556">
        <f t="shared" si="879"/>
        <v>8</v>
      </c>
      <c r="I158" s="556">
        <f t="shared" si="879"/>
        <v>9</v>
      </c>
      <c r="J158" s="556">
        <f t="shared" si="879"/>
        <v>10</v>
      </c>
      <c r="K158" s="556">
        <f t="shared" si="879"/>
        <v>11</v>
      </c>
      <c r="L158" s="556">
        <f t="shared" si="879"/>
        <v>12</v>
      </c>
      <c r="M158" s="556">
        <f t="shared" si="879"/>
        <v>13</v>
      </c>
      <c r="N158" s="556">
        <f t="shared" si="879"/>
        <v>14</v>
      </c>
      <c r="O158" s="556">
        <f t="shared" si="879"/>
        <v>15</v>
      </c>
      <c r="P158" s="556">
        <f t="shared" si="879"/>
        <v>16</v>
      </c>
      <c r="Q158" s="556">
        <f t="shared" si="879"/>
        <v>17</v>
      </c>
      <c r="R158" s="556">
        <f t="shared" si="879"/>
        <v>18</v>
      </c>
      <c r="S158" s="556">
        <f t="shared" si="879"/>
        <v>19</v>
      </c>
      <c r="T158" s="556">
        <f t="shared" si="879"/>
        <v>20</v>
      </c>
      <c r="U158" s="556">
        <f t="shared" si="879"/>
        <v>21</v>
      </c>
      <c r="W158" s="556">
        <f>R158+1</f>
        <v>19</v>
      </c>
      <c r="X158" s="556">
        <f t="shared" ref="X158:BC158" si="880">W158+1</f>
        <v>20</v>
      </c>
      <c r="Y158" s="556">
        <f t="shared" si="880"/>
        <v>21</v>
      </c>
      <c r="Z158" s="556">
        <f t="shared" si="880"/>
        <v>22</v>
      </c>
      <c r="AA158" s="556">
        <f t="shared" si="880"/>
        <v>23</v>
      </c>
      <c r="AB158" s="556">
        <f t="shared" si="880"/>
        <v>24</v>
      </c>
      <c r="AC158" s="556">
        <f t="shared" si="880"/>
        <v>25</v>
      </c>
      <c r="AD158" s="556">
        <f t="shared" si="880"/>
        <v>26</v>
      </c>
      <c r="AE158" s="556">
        <f t="shared" si="880"/>
        <v>27</v>
      </c>
      <c r="AF158" s="556">
        <f t="shared" si="880"/>
        <v>28</v>
      </c>
      <c r="AG158" s="556">
        <f t="shared" si="880"/>
        <v>29</v>
      </c>
      <c r="AH158" s="556">
        <f t="shared" si="880"/>
        <v>30</v>
      </c>
      <c r="AI158" s="556">
        <f t="shared" si="880"/>
        <v>31</v>
      </c>
      <c r="AJ158" s="556">
        <f t="shared" si="880"/>
        <v>32</v>
      </c>
      <c r="AK158" s="556">
        <f t="shared" si="880"/>
        <v>33</v>
      </c>
      <c r="AL158" s="556">
        <f t="shared" si="880"/>
        <v>34</v>
      </c>
      <c r="AM158" s="556">
        <f t="shared" si="880"/>
        <v>35</v>
      </c>
      <c r="AN158" s="556">
        <f t="shared" si="880"/>
        <v>36</v>
      </c>
      <c r="AO158" s="556">
        <f t="shared" si="880"/>
        <v>37</v>
      </c>
      <c r="AP158" s="556">
        <f t="shared" si="880"/>
        <v>38</v>
      </c>
      <c r="AQ158" s="556">
        <f t="shared" si="880"/>
        <v>39</v>
      </c>
      <c r="AR158" s="556">
        <f t="shared" si="880"/>
        <v>40</v>
      </c>
      <c r="AS158" s="556">
        <f t="shared" si="880"/>
        <v>41</v>
      </c>
      <c r="AT158" s="556">
        <f t="shared" si="880"/>
        <v>42</v>
      </c>
      <c r="AU158" s="556">
        <f t="shared" si="880"/>
        <v>43</v>
      </c>
      <c r="AV158" s="556">
        <f t="shared" si="880"/>
        <v>44</v>
      </c>
      <c r="AW158" s="556">
        <f t="shared" si="880"/>
        <v>45</v>
      </c>
      <c r="AX158" s="556">
        <f t="shared" si="880"/>
        <v>46</v>
      </c>
      <c r="AY158" s="556">
        <f t="shared" si="880"/>
        <v>47</v>
      </c>
      <c r="AZ158" s="556">
        <f t="shared" si="880"/>
        <v>48</v>
      </c>
      <c r="BA158" s="556">
        <f t="shared" si="880"/>
        <v>49</v>
      </c>
      <c r="BB158" s="556">
        <f t="shared" si="880"/>
        <v>50</v>
      </c>
      <c r="BC158" s="556">
        <f t="shared" si="880"/>
        <v>51</v>
      </c>
      <c r="BD158" s="556">
        <f t="shared" ref="BD158:CI158" si="881">BC158+1</f>
        <v>52</v>
      </c>
      <c r="BE158" s="556">
        <f t="shared" si="881"/>
        <v>53</v>
      </c>
      <c r="BF158" s="556">
        <f t="shared" si="881"/>
        <v>54</v>
      </c>
      <c r="BG158" s="556">
        <f t="shared" si="881"/>
        <v>55</v>
      </c>
      <c r="BH158" s="556">
        <f t="shared" si="881"/>
        <v>56</v>
      </c>
      <c r="BI158" s="556">
        <f t="shared" si="881"/>
        <v>57</v>
      </c>
      <c r="BJ158" s="556">
        <f t="shared" si="881"/>
        <v>58</v>
      </c>
      <c r="BK158" s="556">
        <f t="shared" si="881"/>
        <v>59</v>
      </c>
      <c r="BL158" s="556">
        <f t="shared" si="881"/>
        <v>60</v>
      </c>
      <c r="BM158" s="556">
        <f t="shared" si="881"/>
        <v>61</v>
      </c>
      <c r="BN158" s="556">
        <f t="shared" si="881"/>
        <v>62</v>
      </c>
      <c r="BO158" s="556">
        <f t="shared" si="881"/>
        <v>63</v>
      </c>
      <c r="BP158" s="556">
        <f t="shared" si="881"/>
        <v>64</v>
      </c>
      <c r="BQ158" s="325">
        <f t="shared" si="881"/>
        <v>65</v>
      </c>
      <c r="BR158" s="325">
        <f t="shared" si="881"/>
        <v>66</v>
      </c>
      <c r="BS158" s="325">
        <f t="shared" si="881"/>
        <v>67</v>
      </c>
      <c r="BT158" s="556">
        <f t="shared" si="881"/>
        <v>68</v>
      </c>
      <c r="BU158" s="556">
        <f t="shared" si="881"/>
        <v>69</v>
      </c>
      <c r="BV158" s="556">
        <f t="shared" si="881"/>
        <v>70</v>
      </c>
      <c r="BW158" s="556">
        <f t="shared" si="881"/>
        <v>71</v>
      </c>
      <c r="BX158" s="556">
        <f t="shared" si="881"/>
        <v>72</v>
      </c>
      <c r="BY158" s="556">
        <f t="shared" si="881"/>
        <v>73</v>
      </c>
      <c r="BZ158" s="556">
        <f t="shared" si="881"/>
        <v>74</v>
      </c>
      <c r="CA158" s="556">
        <f t="shared" si="881"/>
        <v>75</v>
      </c>
      <c r="CB158" s="556">
        <f t="shared" si="881"/>
        <v>76</v>
      </c>
      <c r="CC158" s="556">
        <f t="shared" si="881"/>
        <v>77</v>
      </c>
      <c r="CD158" s="556">
        <f t="shared" si="881"/>
        <v>78</v>
      </c>
      <c r="CE158" s="556">
        <f t="shared" si="881"/>
        <v>79</v>
      </c>
      <c r="CF158" s="556">
        <f t="shared" si="881"/>
        <v>80</v>
      </c>
      <c r="CG158" s="556">
        <f t="shared" si="881"/>
        <v>81</v>
      </c>
      <c r="CH158" s="556">
        <f t="shared" si="881"/>
        <v>82</v>
      </c>
      <c r="CI158" s="556">
        <f t="shared" si="881"/>
        <v>83</v>
      </c>
      <c r="CJ158" s="556">
        <f t="shared" ref="CJ158" si="882">CI158+1</f>
        <v>84</v>
      </c>
      <c r="CK158" s="556">
        <f t="shared" ref="CK158" si="883">CJ158+1</f>
        <v>85</v>
      </c>
      <c r="CL158" s="556">
        <f t="shared" ref="CL158" si="884">CK158+1</f>
        <v>86</v>
      </c>
      <c r="CM158" s="556">
        <f t="shared" ref="CM158" si="885">CL158+1</f>
        <v>87</v>
      </c>
      <c r="CN158" s="556">
        <f t="shared" ref="CN158" si="886">CM158+1</f>
        <v>88</v>
      </c>
      <c r="CO158" s="556">
        <f t="shared" ref="CO158" si="887">CN158+1</f>
        <v>89</v>
      </c>
      <c r="CP158" s="556">
        <f t="shared" ref="CP158" si="888">CO158+1</f>
        <v>90</v>
      </c>
      <c r="CQ158" s="556">
        <f t="shared" ref="CQ158" si="889">CP158+1</f>
        <v>91</v>
      </c>
    </row>
    <row r="159" spans="1:95" s="556" customFormat="1" ht="10.199999999999999" hidden="1">
      <c r="D159" s="556">
        <f>HLOOKUP(D160,$A$7:$BG$159,152,FALSE)</f>
        <v>51</v>
      </c>
      <c r="BE159" s="556">
        <f>+BE150/BD150-1</f>
        <v>0.73941182043247933</v>
      </c>
      <c r="BF159" s="556">
        <f>+BF150/BE150-1</f>
        <v>0.29428522327290807</v>
      </c>
      <c r="BQ159" s="325"/>
      <c r="BR159" s="325"/>
      <c r="BS159" s="325"/>
    </row>
    <row r="160" spans="1:95" s="556" customFormat="1" ht="10.199999999999999" hidden="1">
      <c r="A160" s="556" t="s">
        <v>277</v>
      </c>
      <c r="D160" s="556" t="s">
        <v>86</v>
      </c>
      <c r="BQ160" s="325"/>
      <c r="BR160" s="325"/>
      <c r="BS160" s="325"/>
    </row>
    <row r="161" spans="1:95" s="556" customFormat="1" ht="10.199999999999999" hidden="1">
      <c r="BQ161" s="325"/>
      <c r="BR161" s="325"/>
      <c r="BS161" s="325"/>
    </row>
    <row r="162" spans="1:95" s="556" customFormat="1" ht="10.199999999999999" hidden="1">
      <c r="A162" s="556" t="s">
        <v>276</v>
      </c>
      <c r="D162" s="557">
        <f>VLOOKUP(A162,$A$8:$BG$156,D$159,FALSE)/1000</f>
        <v>79.760000000000005</v>
      </c>
      <c r="BQ162" s="325"/>
      <c r="BR162" s="325"/>
      <c r="BS162" s="325"/>
    </row>
    <row r="163" spans="1:95" s="556" customFormat="1" ht="10.199999999999999" hidden="1">
      <c r="A163" s="556" t="s">
        <v>273</v>
      </c>
      <c r="D163" s="558">
        <f>VLOOKUP(A163,$A$8:$BG$156,D$159,FALSE)</f>
        <v>0.12841109154210192</v>
      </c>
      <c r="BQ163" s="325"/>
      <c r="BR163" s="325"/>
      <c r="BS163" s="325"/>
    </row>
    <row r="164" spans="1:95" s="556" customFormat="1" ht="10.199999999999999" hidden="1">
      <c r="A164" s="559" t="s">
        <v>275</v>
      </c>
      <c r="D164" s="560">
        <f>VLOOKUP(A164,$A$8:$BG$156,D$159,FALSE)</f>
        <v>35.298453718291128</v>
      </c>
      <c r="BQ164" s="325"/>
      <c r="BR164" s="325"/>
      <c r="BS164" s="325"/>
    </row>
    <row r="165" spans="1:95" s="556" customFormat="1" ht="10.199999999999999" hidden="1">
      <c r="BQ165" s="325"/>
      <c r="BR165" s="325"/>
      <c r="BS165" s="325"/>
    </row>
    <row r="166" spans="1:95" s="325" customFormat="1" ht="10.199999999999999">
      <c r="O166" s="326"/>
      <c r="P166" s="326"/>
      <c r="Q166" s="326"/>
      <c r="R166" s="326"/>
      <c r="S166" s="326"/>
      <c r="T166" s="326"/>
      <c r="U166" s="326"/>
      <c r="BG166" s="327"/>
      <c r="BL166" s="326"/>
      <c r="BM166" s="326"/>
      <c r="BN166" s="326"/>
      <c r="BO166" s="326"/>
      <c r="BP166" s="326"/>
      <c r="BT166" s="326"/>
      <c r="BU166" s="326"/>
      <c r="BV166" s="326"/>
      <c r="BW166" s="326"/>
      <c r="BX166" s="326"/>
      <c r="BY166" s="326"/>
      <c r="BZ166" s="326"/>
      <c r="CA166" s="326"/>
      <c r="CB166" s="326"/>
      <c r="CC166" s="326"/>
      <c r="CD166" s="326"/>
      <c r="CE166" s="326"/>
      <c r="CF166" s="326"/>
      <c r="CG166" s="326"/>
      <c r="CH166" s="326"/>
      <c r="CI166" s="326"/>
      <c r="CJ166" s="326"/>
      <c r="CK166" s="326"/>
      <c r="CL166" s="326"/>
      <c r="CM166" s="326"/>
      <c r="CN166" s="326"/>
      <c r="CO166" s="326"/>
      <c r="CP166" s="326"/>
      <c r="CQ166" s="326"/>
    </row>
    <row r="167" spans="1:95">
      <c r="BG167" s="324"/>
    </row>
    <row r="168" spans="1:95">
      <c r="BG168" s="324"/>
    </row>
    <row r="169" spans="1:95">
      <c r="BG169" s="324"/>
    </row>
  </sheetData>
  <pageMargins left="0.75" right="0.75" top="1" bottom="1" header="0.5" footer="0.5"/>
  <pageSetup scale="77" orientation="portrait" horizontalDpi="1200" verticalDpi="1200" r:id="rId1"/>
  <headerFooter alignWithMargins="0"/>
  <rowBreaks count="1" manualBreakCount="1">
    <brk id="125" max="11" man="1"/>
  </rowBreaks>
  <customProperties>
    <customPr name="Qube.Worksheet.Visibility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indexed="25"/>
  </sheetPr>
  <dimension ref="A1:CQ27"/>
  <sheetViews>
    <sheetView showGridLines="0" zoomScale="115" zoomScaleNormal="115"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K15" sqref="K15"/>
    </sheetView>
  </sheetViews>
  <sheetFormatPr baseColWidth="10" defaultColWidth="9" defaultRowHeight="13.2" outlineLevelCol="1"/>
  <cols>
    <col min="1" max="1" width="38.19921875" style="422" bestFit="1" customWidth="1"/>
    <col min="2" max="8" width="9" style="422" hidden="1" customWidth="1" outlineLevel="1"/>
    <col min="9" max="9" width="9" style="422" hidden="1" customWidth="1" outlineLevel="1" collapsed="1"/>
    <col min="10" max="10" width="9" style="422" hidden="1" customWidth="1" outlineLevel="1"/>
    <col min="11" max="11" width="9" style="422" collapsed="1"/>
    <col min="12" max="14" width="9" style="423"/>
    <col min="15" max="22" width="9" style="422"/>
    <col min="23" max="23" width="38.19921875" style="422" bestFit="1" customWidth="1"/>
    <col min="24" max="24" width="8.8984375" style="422" hidden="1" customWidth="1" outlineLevel="1"/>
    <col min="25" max="25" width="8.09765625" style="422" hidden="1" customWidth="1" outlineLevel="1"/>
    <col min="26" max="27" width="8.3984375" style="422" hidden="1" customWidth="1" outlineLevel="1"/>
    <col min="28" max="28" width="8.8984375" style="422" hidden="1" customWidth="1" outlineLevel="1"/>
    <col min="29" max="29" width="8.09765625" style="422" hidden="1" customWidth="1" outlineLevel="1"/>
    <col min="30" max="31" width="8.3984375" style="422" hidden="1" customWidth="1" outlineLevel="1"/>
    <col min="32" max="32" width="8.3984375" style="422" hidden="1" customWidth="1" outlineLevel="1" collapsed="1"/>
    <col min="33" max="43" width="8.3984375" style="422" hidden="1" customWidth="1" outlineLevel="1"/>
    <col min="44" max="44" width="8.3984375" style="422" hidden="1" customWidth="1" outlineLevel="1" collapsed="1"/>
    <col min="45" max="51" width="8.3984375" style="422" hidden="1" customWidth="1" outlineLevel="1"/>
    <col min="52" max="52" width="8.3984375" style="422" bestFit="1" customWidth="1" collapsed="1"/>
    <col min="53" max="55" width="8.3984375" style="422" bestFit="1" customWidth="1"/>
    <col min="56" max="59" width="8.3984375" style="423" bestFit="1" customWidth="1"/>
    <col min="60" max="95" width="8.3984375" style="422" bestFit="1" customWidth="1"/>
    <col min="96" max="16384" width="9" style="422"/>
  </cols>
  <sheetData>
    <row r="1" spans="1:95" ht="42.75" customHeight="1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6"/>
      <c r="M1" s="456"/>
      <c r="N1" s="456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6"/>
      <c r="BE1" s="456"/>
      <c r="BF1" s="456"/>
      <c r="BG1" s="456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</row>
    <row r="2" spans="1:95" ht="22.8">
      <c r="A2" s="454" t="str">
        <f>Summary!A3</f>
        <v>Credicorp, Inc. (BAP)</v>
      </c>
      <c r="L2" s="452"/>
      <c r="M2" s="452"/>
      <c r="N2" s="452"/>
      <c r="O2" s="451"/>
      <c r="P2" s="451"/>
      <c r="Q2" s="451"/>
      <c r="R2" s="451"/>
      <c r="S2" s="451"/>
      <c r="T2" s="451"/>
      <c r="U2" s="451"/>
    </row>
    <row r="3" spans="1:95">
      <c r="A3" s="453" t="s">
        <v>404</v>
      </c>
      <c r="L3" s="452"/>
      <c r="M3" s="452"/>
      <c r="N3" s="452"/>
      <c r="O3" s="451"/>
      <c r="P3" s="451"/>
      <c r="Q3" s="451"/>
      <c r="R3" s="451"/>
      <c r="S3" s="451"/>
      <c r="T3" s="451"/>
      <c r="U3" s="451"/>
    </row>
    <row r="4" spans="1:95">
      <c r="A4" s="137" t="s">
        <v>403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2"/>
      <c r="M4" s="452"/>
      <c r="N4" s="452"/>
      <c r="O4" s="451"/>
      <c r="P4" s="451"/>
      <c r="Q4" s="451"/>
      <c r="R4" s="451"/>
      <c r="S4" s="451"/>
      <c r="T4" s="451"/>
      <c r="U4" s="451"/>
    </row>
    <row r="5" spans="1:95" s="424" customFormat="1" ht="10.199999999999999">
      <c r="A5" s="448" t="s">
        <v>402</v>
      </c>
      <c r="B5" s="450">
        <f>+Assumptions!G8</f>
        <v>2002</v>
      </c>
      <c r="C5" s="450">
        <f>+Assumptions!H8</f>
        <v>2003</v>
      </c>
      <c r="D5" s="450">
        <f>+Assumptions!I8</f>
        <v>2004</v>
      </c>
      <c r="E5" s="450">
        <f>+Assumptions!J8</f>
        <v>2005</v>
      </c>
      <c r="F5" s="450">
        <f>+Assumptions!K8</f>
        <v>2006</v>
      </c>
      <c r="G5" s="450">
        <f>+Assumptions!L8</f>
        <v>2007</v>
      </c>
      <c r="H5" s="450">
        <f>+Assumptions!M8</f>
        <v>2008</v>
      </c>
      <c r="I5" s="450">
        <f>+Assumptions!N8</f>
        <v>2009</v>
      </c>
      <c r="J5" s="450">
        <f>+Assumptions!O8</f>
        <v>2010</v>
      </c>
      <c r="K5" s="450">
        <f>+Assumptions!P8</f>
        <v>2011</v>
      </c>
      <c r="L5" s="449">
        <f>+Assumptions!Q8</f>
        <v>2012</v>
      </c>
      <c r="M5" s="449">
        <f>+Assumptions!R8</f>
        <v>2013</v>
      </c>
      <c r="N5" s="449">
        <f>+Assumptions!S8</f>
        <v>2014</v>
      </c>
      <c r="O5" s="450">
        <f>+Assumptions!T8</f>
        <v>2015</v>
      </c>
      <c r="P5" s="445" t="str">
        <f>+Assumptions!U8</f>
        <v>2016E</v>
      </c>
      <c r="Q5" s="445" t="str">
        <f>+Assumptions!V8</f>
        <v>2017E</v>
      </c>
      <c r="R5" s="445" t="str">
        <f>+Assumptions!W8</f>
        <v>2018E</v>
      </c>
      <c r="S5" s="445" t="str">
        <f>+Assumptions!X8</f>
        <v>2019E</v>
      </c>
      <c r="T5" s="445" t="str">
        <f>+Assumptions!Y8</f>
        <v>2020E</v>
      </c>
      <c r="U5" s="445" t="str">
        <f>+Assumptions!Z8</f>
        <v>2021E</v>
      </c>
      <c r="W5" s="448" t="s">
        <v>401</v>
      </c>
      <c r="X5" s="446" t="s">
        <v>117</v>
      </c>
      <c r="Y5" s="446" t="s">
        <v>116</v>
      </c>
      <c r="Z5" s="446" t="s">
        <v>115</v>
      </c>
      <c r="AA5" s="446" t="s">
        <v>114</v>
      </c>
      <c r="AB5" s="446" t="str">
        <f>+'Income Statement'!BI7</f>
        <v>1Q05</v>
      </c>
      <c r="AC5" s="446" t="str">
        <f>+'Income Statement'!BJ7</f>
        <v>2Q05</v>
      </c>
      <c r="AD5" s="446" t="str">
        <f>+'Income Statement'!BK7</f>
        <v>3Q05</v>
      </c>
      <c r="AE5" s="446" t="str">
        <f>+'Income Statement'!BL7</f>
        <v>4Q05</v>
      </c>
      <c r="AF5" s="446" t="str">
        <f>+'Income Statement'!BM7</f>
        <v>1Q06</v>
      </c>
      <c r="AG5" s="446" t="str">
        <f>+'Income Statement'!BN7</f>
        <v>2Q06</v>
      </c>
      <c r="AH5" s="446" t="str">
        <f>+'Income Statement'!BO7</f>
        <v>3Q06</v>
      </c>
      <c r="AI5" s="446" t="str">
        <f>+'Income Statement'!BP7</f>
        <v>4Q06</v>
      </c>
      <c r="AJ5" s="446" t="str">
        <f>+'Income Statement'!BQ7</f>
        <v>1Q07</v>
      </c>
      <c r="AK5" s="446" t="str">
        <f>+'Income Statement'!BR7</f>
        <v>2Q07</v>
      </c>
      <c r="AL5" s="446" t="str">
        <f>+'Income Statement'!BS7</f>
        <v>3Q07</v>
      </c>
      <c r="AM5" s="446" t="str">
        <f>+'Income Statement'!BT7</f>
        <v>4Q07</v>
      </c>
      <c r="AN5" s="446" t="str">
        <f>+'Income Statement'!BU7</f>
        <v>1Q08</v>
      </c>
      <c r="AO5" s="446" t="str">
        <f>+'Income Statement'!BV7</f>
        <v>2Q08</v>
      </c>
      <c r="AP5" s="446" t="str">
        <f>+'Income Statement'!BW7</f>
        <v>3Q08</v>
      </c>
      <c r="AQ5" s="446" t="str">
        <f>+'Income Statement'!BX7</f>
        <v>4Q08</v>
      </c>
      <c r="AR5" s="446" t="str">
        <f>+'Income Statement'!BY7</f>
        <v>1Q09</v>
      </c>
      <c r="AS5" s="446" t="str">
        <f>+'Income Statement'!BZ7</f>
        <v>2Q09</v>
      </c>
      <c r="AT5" s="446" t="str">
        <f>+'Income Statement'!CA7</f>
        <v>3Q09</v>
      </c>
      <c r="AU5" s="446" t="str">
        <f>+'Income Statement'!CB7</f>
        <v>4Q09</v>
      </c>
      <c r="AV5" s="446" t="str">
        <f>+'Income Statement'!CC7</f>
        <v>1Q10</v>
      </c>
      <c r="AW5" s="446" t="str">
        <f>+'Income Statement'!CD7</f>
        <v>2Q10</v>
      </c>
      <c r="AX5" s="446" t="str">
        <f>+'Income Statement'!CE7</f>
        <v>3Q10</v>
      </c>
      <c r="AY5" s="446" t="str">
        <f>+'Income Statement'!CF7</f>
        <v>4Q10</v>
      </c>
      <c r="AZ5" s="446" t="str">
        <f>+'Income Statement'!CG7</f>
        <v>1Q11</v>
      </c>
      <c r="BA5" s="446" t="str">
        <f>+'Income Statement'!CH7</f>
        <v>2Q11</v>
      </c>
      <c r="BB5" s="446" t="str">
        <f>+'Income Statement'!CI7</f>
        <v>3Q11</v>
      </c>
      <c r="BC5" s="446" t="str">
        <f>+'Income Statement'!CJ7</f>
        <v>4Q11</v>
      </c>
      <c r="BD5" s="447" t="str">
        <f>+'Income Statement'!CK7</f>
        <v>1Q12</v>
      </c>
      <c r="BE5" s="447" t="str">
        <f>+'Income Statement'!CL7</f>
        <v>2Q12</v>
      </c>
      <c r="BF5" s="447" t="str">
        <f>+'Income Statement'!CM7</f>
        <v>3Q12</v>
      </c>
      <c r="BG5" s="447" t="str">
        <f>+'Income Statement'!CN7</f>
        <v>4Q12</v>
      </c>
      <c r="BH5" s="446" t="str">
        <f>+'Income Statement'!CO7</f>
        <v>1Q13</v>
      </c>
      <c r="BI5" s="446" t="str">
        <f>+'Income Statement'!CP7</f>
        <v>2Q13</v>
      </c>
      <c r="BJ5" s="446" t="str">
        <f>+'Income Statement'!CQ7</f>
        <v>3Q13</v>
      </c>
      <c r="BK5" s="446" t="str">
        <f>+'Income Statement'!CR7</f>
        <v>4Q13</v>
      </c>
      <c r="BL5" s="446" t="str">
        <f>+'Income Statement'!CS7</f>
        <v>1Q14</v>
      </c>
      <c r="BM5" s="446" t="str">
        <f>+'Income Statement'!CT7</f>
        <v>2Q14</v>
      </c>
      <c r="BN5" s="446" t="str">
        <f>+'Income Statement'!CU7</f>
        <v>3Q14</v>
      </c>
      <c r="BO5" s="446" t="str">
        <f>+'Income Statement'!CV7</f>
        <v>4Q14</v>
      </c>
      <c r="BP5" s="446" t="str">
        <f>+'Income Statement'!CW7</f>
        <v>1Q15</v>
      </c>
      <c r="BQ5" s="446" t="str">
        <f>+'Income Statement'!CX7</f>
        <v>2Q15</v>
      </c>
      <c r="BR5" s="446" t="str">
        <f>+'Income Statement'!CY7</f>
        <v>3Q15</v>
      </c>
      <c r="BS5" s="446" t="str">
        <f>+'Income Statement'!CZ7</f>
        <v>4Q15</v>
      </c>
      <c r="BT5" s="445" t="str">
        <f>+'Income Statement'!DA7</f>
        <v>1Q16E</v>
      </c>
      <c r="BU5" s="445" t="str">
        <f>+'Income Statement'!DB7</f>
        <v>2Q16E</v>
      </c>
      <c r="BV5" s="445" t="str">
        <f>+'Income Statement'!DC7</f>
        <v>3Q16E</v>
      </c>
      <c r="BW5" s="445" t="str">
        <f>+'Income Statement'!DD7</f>
        <v>4Q16E</v>
      </c>
      <c r="BX5" s="445" t="str">
        <f>+'Income Statement'!DE7</f>
        <v>1Q17E</v>
      </c>
      <c r="BY5" s="445" t="str">
        <f>+'Income Statement'!DF7</f>
        <v>2Q17E</v>
      </c>
      <c r="BZ5" s="445" t="str">
        <f>+'Income Statement'!DG7</f>
        <v>3Q17E</v>
      </c>
      <c r="CA5" s="445" t="str">
        <f>+'Income Statement'!DH7</f>
        <v>4Q17E</v>
      </c>
      <c r="CB5" s="445" t="str">
        <f>+'Income Statement'!DI7</f>
        <v>1Q18E</v>
      </c>
      <c r="CC5" s="445" t="str">
        <f>+'Income Statement'!DJ7</f>
        <v>2Q18E</v>
      </c>
      <c r="CD5" s="445" t="str">
        <f>+'Income Statement'!DK7</f>
        <v>3Q18E</v>
      </c>
      <c r="CE5" s="445" t="str">
        <f>+'Income Statement'!DL7</f>
        <v>4Q18E</v>
      </c>
      <c r="CF5" s="445" t="str">
        <f>+'Income Statement'!DM7</f>
        <v>1Q19E</v>
      </c>
      <c r="CG5" s="445" t="str">
        <f>+'Income Statement'!DN7</f>
        <v>2Q19E</v>
      </c>
      <c r="CH5" s="445" t="str">
        <f>+'Income Statement'!DO7</f>
        <v>3Q19E</v>
      </c>
      <c r="CI5" s="445" t="str">
        <f>+'Income Statement'!DP7</f>
        <v>4Q19E</v>
      </c>
      <c r="CJ5" s="445" t="str">
        <f>+'Income Statement'!DQ7</f>
        <v>1Q20E</v>
      </c>
      <c r="CK5" s="445" t="str">
        <f>+'Income Statement'!DR7</f>
        <v>2Q20E</v>
      </c>
      <c r="CL5" s="445" t="str">
        <f>+'Income Statement'!DS7</f>
        <v>3Q20E</v>
      </c>
      <c r="CM5" s="445" t="str">
        <f>+'Income Statement'!DT7</f>
        <v>4Q20E</v>
      </c>
      <c r="CN5" s="445" t="str">
        <f>+'Income Statement'!DU7</f>
        <v>1Q21E</v>
      </c>
      <c r="CO5" s="445" t="str">
        <f>+'Income Statement'!DV7</f>
        <v>2Q21E</v>
      </c>
      <c r="CP5" s="445" t="str">
        <f>+'Income Statement'!DW7</f>
        <v>3Q21E</v>
      </c>
      <c r="CQ5" s="445" t="str">
        <f>+'Income Statement'!DX7</f>
        <v>4Q21E</v>
      </c>
    </row>
    <row r="6" spans="1:95" s="424" customFormat="1" ht="10.199999999999999">
      <c r="L6" s="425"/>
      <c r="M6" s="425"/>
      <c r="N6" s="425"/>
      <c r="BD6" s="425"/>
      <c r="BE6" s="425"/>
      <c r="BF6" s="425"/>
      <c r="BG6" s="425"/>
    </row>
    <row r="7" spans="1:95" s="424" customFormat="1" ht="10.199999999999999">
      <c r="A7" s="428"/>
      <c r="L7" s="425"/>
      <c r="M7" s="425"/>
      <c r="N7" s="425"/>
      <c r="W7" s="428"/>
      <c r="BD7" s="425"/>
      <c r="BE7" s="425"/>
      <c r="BF7" s="425"/>
      <c r="BG7" s="425"/>
    </row>
    <row r="8" spans="1:95" s="430" customFormat="1" ht="10.199999999999999">
      <c r="A8" s="441" t="s">
        <v>19</v>
      </c>
      <c r="B8" s="443"/>
      <c r="C8" s="443" t="e">
        <f>Summary!C17/Summary!C131</f>
        <v>#DIV/0!</v>
      </c>
      <c r="D8" s="443" t="e">
        <f>Summary!D17/Summary!D131</f>
        <v>#DIV/0!</v>
      </c>
      <c r="E8" s="443" t="e">
        <f>Summary!E17/Summary!E131</f>
        <v>#DIV/0!</v>
      </c>
      <c r="F8" s="443" t="e">
        <f>Summary!F17/Summary!F131</f>
        <v>#DIV/0!</v>
      </c>
      <c r="G8" s="443" t="e">
        <f>Summary!G17/Summary!G131</f>
        <v>#DIV/0!</v>
      </c>
      <c r="H8" s="443" t="e">
        <f>Summary!H17/Summary!H131</f>
        <v>#DIV/0!</v>
      </c>
      <c r="I8" s="443">
        <f>Summary!I17/Summary!I131</f>
        <v>0.12401303866664927</v>
      </c>
      <c r="J8" s="443">
        <f>Summary!J17/Summary!J131</f>
        <v>5.6837019252495645E-2</v>
      </c>
      <c r="K8" s="443">
        <f>Summary!K17/Summary!K131</f>
        <v>6.1924783963011876E-2</v>
      </c>
      <c r="L8" s="444">
        <f>Summary!L17/Summary!L131</f>
        <v>6.4579006638744829E-2</v>
      </c>
      <c r="M8" s="444">
        <f>Summary!M17/Summary!M131</f>
        <v>6.4009784834175784E-2</v>
      </c>
      <c r="N8" s="444">
        <f>Summary!N17/Summary!N131</f>
        <v>6.8421433899675199E-2</v>
      </c>
      <c r="O8" s="443">
        <f>Summary!O17/Summary!O131</f>
        <v>6.8849989457952954E-2</v>
      </c>
      <c r="P8" s="442">
        <f>Summary!P17/Summary!P131</f>
        <v>7.3558832142518182E-2</v>
      </c>
      <c r="Q8" s="442">
        <f>Summary!Q17/Summary!Q131</f>
        <v>7.3144064537268599E-2</v>
      </c>
      <c r="R8" s="442">
        <f>Summary!R17/Summary!R131</f>
        <v>7.2652952390360945E-2</v>
      </c>
      <c r="S8" s="442">
        <f>Summary!S17/Summary!S131</f>
        <v>7.2939753985599695E-2</v>
      </c>
      <c r="T8" s="442">
        <f>Summary!T17/Summary!T131</f>
        <v>7.3365282495952713E-2</v>
      </c>
      <c r="U8" s="442">
        <f>Summary!U17/Summary!U131</f>
        <v>7.384408957694065E-2</v>
      </c>
      <c r="W8" s="441" t="s">
        <v>19</v>
      </c>
      <c r="X8" s="443" t="e">
        <f>Summary!X17/Summary!X131*4</f>
        <v>#DIV/0!</v>
      </c>
      <c r="Y8" s="443" t="e">
        <f>Summary!Y17/Summary!Y131*4</f>
        <v>#DIV/0!</v>
      </c>
      <c r="Z8" s="443" t="e">
        <f>Summary!Z17/Summary!Z131*4</f>
        <v>#DIV/0!</v>
      </c>
      <c r="AA8" s="443" t="e">
        <f>Summary!AA17/Summary!AA131*4</f>
        <v>#DIV/0!</v>
      </c>
      <c r="AB8" s="443" t="e">
        <f>Summary!AB17/Summary!AB131*4</f>
        <v>#DIV/0!</v>
      </c>
      <c r="AC8" s="443" t="e">
        <f>Summary!AC17/Summary!AC131*4</f>
        <v>#DIV/0!</v>
      </c>
      <c r="AD8" s="443" t="e">
        <f>Summary!AD17/Summary!AD131*4</f>
        <v>#DIV/0!</v>
      </c>
      <c r="AE8" s="443" t="e">
        <f>Summary!AE17/Summary!AE131*4</f>
        <v>#DIV/0!</v>
      </c>
      <c r="AF8" s="443" t="e">
        <f>Summary!AF17/Summary!AF131*4</f>
        <v>#DIV/0!</v>
      </c>
      <c r="AG8" s="443" t="e">
        <f>Summary!AG17/Summary!AG131*4</f>
        <v>#DIV/0!</v>
      </c>
      <c r="AH8" s="443" t="e">
        <f>Summary!AH17/Summary!AH131*4</f>
        <v>#DIV/0!</v>
      </c>
      <c r="AI8" s="443" t="e">
        <f>Summary!AI17/Summary!AI131*4</f>
        <v>#DIV/0!</v>
      </c>
      <c r="AJ8" s="443" t="e">
        <f>Summary!AJ17/Summary!AJ131*4</f>
        <v>#DIV/0!</v>
      </c>
      <c r="AK8" s="443" t="e">
        <f>Summary!AK17/Summary!AK131*4</f>
        <v>#DIV/0!</v>
      </c>
      <c r="AL8" s="443" t="e">
        <f>Summary!AL17/Summary!AL131*4</f>
        <v>#DIV/0!</v>
      </c>
      <c r="AM8" s="443" t="e">
        <f>Summary!AM17/Summary!AM131*4</f>
        <v>#DIV/0!</v>
      </c>
      <c r="AN8" s="443" t="e">
        <f>Summary!AN17/Summary!AN131*4</f>
        <v>#DIV/0!</v>
      </c>
      <c r="AO8" s="443" t="e">
        <f>Summary!AO17/Summary!AO131*4</f>
        <v>#DIV/0!</v>
      </c>
      <c r="AP8" s="443" t="e">
        <f>Summary!AP17/Summary!AP131*4</f>
        <v>#DIV/0!</v>
      </c>
      <c r="AQ8" s="443" t="e">
        <f>Summary!AQ17/Summary!AQ131*4</f>
        <v>#DIV/0!</v>
      </c>
      <c r="AR8" s="443">
        <f>Summary!AR17/Summary!AR131*4</f>
        <v>0.12500298827294631</v>
      </c>
      <c r="AS8" s="443">
        <f>Summary!AS17/Summary!AS131*4</f>
        <v>6.355462607948846E-2</v>
      </c>
      <c r="AT8" s="443">
        <f>Summary!AT17/Summary!AT131*4</f>
        <v>6.1578428312146133E-2</v>
      </c>
      <c r="AU8" s="443">
        <f>Summary!AU17/Summary!AU131*4</f>
        <v>6.1565592610327256E-2</v>
      </c>
      <c r="AV8" s="443">
        <f>Summary!AV17/Summary!AV131*4</f>
        <v>5.799748118584095E-2</v>
      </c>
      <c r="AW8" s="443">
        <f>Summary!AW17/Summary!AW131*4</f>
        <v>5.8304015987466484E-2</v>
      </c>
      <c r="AX8" s="443">
        <f>Summary!AX17/Summary!AX131*4</f>
        <v>5.9345855392887531E-2</v>
      </c>
      <c r="AY8" s="443">
        <f>Summary!AY17/Summary!AY131*4</f>
        <v>5.7951547024334561E-2</v>
      </c>
      <c r="AZ8" s="443">
        <f>Summary!AZ17/Summary!AZ131*4</f>
        <v>5.9205884837377251E-2</v>
      </c>
      <c r="BA8" s="443">
        <f>Summary!BA17/Summary!BA131*4</f>
        <v>5.9843751619404049E-2</v>
      </c>
      <c r="BB8" s="443">
        <f>Summary!BB17/Summary!BB131*4</f>
        <v>6.2524012414836738E-2</v>
      </c>
      <c r="BC8" s="443">
        <f>Summary!BC17/Summary!BC131*4</f>
        <v>6.5216643954134512E-2</v>
      </c>
      <c r="BD8" s="444">
        <f>Summary!BD17/Summary!BD131*4</f>
        <v>6.4415822862677871E-2</v>
      </c>
      <c r="BE8" s="444">
        <f>Summary!BE17/Summary!BE131*4</f>
        <v>6.4771786407437526E-2</v>
      </c>
      <c r="BF8" s="444">
        <f>Summary!BF17/Summary!BF131*4</f>
        <v>6.5266619315213742E-2</v>
      </c>
      <c r="BG8" s="444">
        <f>Summary!BG17/Summary!BG131*4</f>
        <v>6.3679524077971381E-2</v>
      </c>
      <c r="BH8" s="443">
        <f>Summary!BH17/Summary!BH131*4</f>
        <v>6.2020522245865357E-2</v>
      </c>
      <c r="BI8" s="443">
        <f>Summary!BI17/Summary!BI131*4</f>
        <v>6.225869329711535E-2</v>
      </c>
      <c r="BJ8" s="443">
        <f>Summary!BJ17/Summary!BJ131*4</f>
        <v>6.5097276819893746E-2</v>
      </c>
      <c r="BK8" s="443">
        <f>Summary!BK17/Summary!BK131*4</f>
        <v>6.4531977149177119E-2</v>
      </c>
      <c r="BL8" s="443">
        <f>Summary!BL17/Summary!BL131*4</f>
        <v>6.2917720055343088E-2</v>
      </c>
      <c r="BM8" s="443">
        <f>Summary!BM17/Summary!BM131*4</f>
        <v>6.8316074680282377E-2</v>
      </c>
      <c r="BN8" s="443">
        <f>Summary!BN17/Summary!BN131*4</f>
        <v>6.9252514119290828E-2</v>
      </c>
      <c r="BO8" s="443">
        <f>Summary!BO17/Summary!BO131*4</f>
        <v>6.8112037546361942E-2</v>
      </c>
      <c r="BP8" s="443">
        <f>Summary!BP17/Summary!BP131*4</f>
        <v>6.8826213114855192E-2</v>
      </c>
      <c r="BQ8" s="443">
        <f>Summary!BQ17/Summary!BQ131*4</f>
        <v>6.9200771637623962E-2</v>
      </c>
      <c r="BR8" s="443">
        <f>Summary!BR17/Summary!BR131*4</f>
        <v>6.8043404665283858E-2</v>
      </c>
      <c r="BS8" s="443">
        <f>Summary!BS17/Summary!BS131*4</f>
        <v>6.9243563687401422E-2</v>
      </c>
      <c r="BT8" s="442">
        <f>Summary!BT17/Summary!BT131*4</f>
        <v>7.0768628163223407E-2</v>
      </c>
      <c r="BU8" s="442">
        <f>Summary!BU17/Summary!BU131*4</f>
        <v>7.1346604697530569E-2</v>
      </c>
      <c r="BV8" s="442">
        <f>Summary!BV17/Summary!BV131*4</f>
        <v>7.2918571377033309E-2</v>
      </c>
      <c r="BW8" s="442">
        <f>Summary!BW17/Summary!BW131*4</f>
        <v>7.3728662887764307E-2</v>
      </c>
      <c r="BX8" s="442">
        <f>Summary!BX17/Summary!BX131*4</f>
        <v>7.3173580659981502E-2</v>
      </c>
      <c r="BY8" s="442">
        <f>Summary!BY17/Summary!BY131*4</f>
        <v>7.2343024799704808E-2</v>
      </c>
      <c r="BZ8" s="442">
        <f>Summary!BZ17/Summary!BZ131*4</f>
        <v>7.2229140407535808E-2</v>
      </c>
      <c r="CA8" s="442">
        <f>Summary!CA17/Summary!CA131*4</f>
        <v>7.2149771396639376E-2</v>
      </c>
      <c r="CB8" s="442">
        <f>Summary!CB17/Summary!CB131*4</f>
        <v>7.1651649341584661E-2</v>
      </c>
      <c r="CC8" s="442">
        <f>Summary!CC17/Summary!CC131*4</f>
        <v>7.2157708661991227E-2</v>
      </c>
      <c r="CD8" s="442">
        <f>Summary!CD17/Summary!CD131*4</f>
        <v>7.2139408661807319E-2</v>
      </c>
      <c r="CE8" s="442">
        <f>Summary!CE17/Summary!CE131*4</f>
        <v>7.2568860134550259E-2</v>
      </c>
      <c r="CF8" s="442">
        <f>Summary!CF17/Summary!CF131*4</f>
        <v>7.2463990724975391E-2</v>
      </c>
      <c r="CG8" s="442">
        <f>Summary!CG17/Summary!CG131*4</f>
        <v>7.2539417174957752E-2</v>
      </c>
      <c r="CH8" s="442">
        <f>Summary!CH17/Summary!CH131*4</f>
        <v>7.2508506980934931E-2</v>
      </c>
      <c r="CI8" s="442">
        <f>Summary!CI17/Summary!CI131*4</f>
        <v>7.2734918122543679E-2</v>
      </c>
      <c r="CJ8" s="442">
        <f>Summary!CJ17/Summary!CJ131*4</f>
        <v>7.2847681555381322E-2</v>
      </c>
      <c r="CK8" s="442">
        <f>Summary!CK17/Summary!CK131*4</f>
        <v>7.3146746900646514E-2</v>
      </c>
      <c r="CL8" s="442">
        <f>Summary!CL17/Summary!CL131*4</f>
        <v>7.3320312885870251E-2</v>
      </c>
      <c r="CM8" s="442">
        <f>Summary!CM17/Summary!CM131*4</f>
        <v>7.3515621925806421E-2</v>
      </c>
      <c r="CN8" s="442">
        <f>Summary!CN17/Summary!CN131*4</f>
        <v>7.3593972750116365E-2</v>
      </c>
      <c r="CO8" s="442">
        <f>Summary!CO17/Summary!CO131*4</f>
        <v>7.3860380950459464E-2</v>
      </c>
      <c r="CP8" s="442">
        <f>Summary!CP17/Summary!CP131*4</f>
        <v>7.4000602508321731E-2</v>
      </c>
      <c r="CQ8" s="442">
        <f>Summary!CQ17/Summary!CQ131*4</f>
        <v>7.4160960391677133E-2</v>
      </c>
    </row>
    <row r="9" spans="1:95" s="424" customFormat="1" ht="10.199999999999999">
      <c r="A9" s="424" t="s">
        <v>6</v>
      </c>
      <c r="B9" s="242"/>
      <c r="C9" s="242" t="e">
        <f>Summary!C18/Summary!C131</f>
        <v>#DIV/0!</v>
      </c>
      <c r="D9" s="242" t="e">
        <f>Summary!D18/Summary!D131</f>
        <v>#DIV/0!</v>
      </c>
      <c r="E9" s="242" t="e">
        <f>Summary!E18/Summary!E131</f>
        <v>#DIV/0!</v>
      </c>
      <c r="F9" s="242" t="e">
        <f>Summary!F18/Summary!F131</f>
        <v>#DIV/0!</v>
      </c>
      <c r="G9" s="242" t="e">
        <f>Summary!G18/Summary!G131</f>
        <v>#DIV/0!</v>
      </c>
      <c r="H9" s="242" t="e">
        <f>Summary!H18/Summary!H131</f>
        <v>#DIV/0!</v>
      </c>
      <c r="I9" s="242">
        <f>Summary!I18/Summary!I131</f>
        <v>-3.9362137781222925E-2</v>
      </c>
      <c r="J9" s="242">
        <f>Summary!J18/Summary!J131</f>
        <v>-1.5324422424224224E-2</v>
      </c>
      <c r="K9" s="242">
        <f>Summary!K18/Summary!K131</f>
        <v>-1.7909319388656496E-2</v>
      </c>
      <c r="L9" s="246">
        <f>Summary!L18/Summary!L131</f>
        <v>-1.9511117624761397E-2</v>
      </c>
      <c r="M9" s="246">
        <f>Summary!M18/Summary!M131</f>
        <v>-1.8767976218697639E-2</v>
      </c>
      <c r="N9" s="246">
        <f>Summary!N18/Summary!N131</f>
        <v>-1.7141943224510639E-2</v>
      </c>
      <c r="O9" s="242">
        <f>Summary!O18/Summary!O131</f>
        <v>-1.7571846067490852E-2</v>
      </c>
      <c r="P9" s="241">
        <f ca="1">Summary!P18/Summary!P131</f>
        <v>-2.3527099464529983E-2</v>
      </c>
      <c r="Q9" s="241">
        <f ca="1">Summary!Q18/Summary!Q131</f>
        <v>-2.3107168201874421E-2</v>
      </c>
      <c r="R9" s="241">
        <f ca="1">Summary!R18/Summary!R131</f>
        <v>-2.1782580696410241E-2</v>
      </c>
      <c r="S9" s="241">
        <f ca="1">Summary!S18/Summary!S131</f>
        <v>-2.1344571157871702E-2</v>
      </c>
      <c r="T9" s="241">
        <f ca="1">Summary!T18/Summary!T131</f>
        <v>-2.07092177132009E-2</v>
      </c>
      <c r="U9" s="241">
        <f ca="1">Summary!U18/Summary!U131</f>
        <v>-2.024988998264424E-2</v>
      </c>
      <c r="W9" s="424" t="s">
        <v>6</v>
      </c>
      <c r="X9" s="242" t="e">
        <f>Summary!X18/Summary!X131*4</f>
        <v>#DIV/0!</v>
      </c>
      <c r="Y9" s="242" t="e">
        <f>Summary!Y18/Summary!Y131*4</f>
        <v>#DIV/0!</v>
      </c>
      <c r="Z9" s="242" t="e">
        <f>Summary!Z18/Summary!Z131*4</f>
        <v>#DIV/0!</v>
      </c>
      <c r="AA9" s="242" t="e">
        <f>Summary!AA18/Summary!AA131*4</f>
        <v>#DIV/0!</v>
      </c>
      <c r="AB9" s="242" t="e">
        <f>Summary!AB18/Summary!AB131*4</f>
        <v>#DIV/0!</v>
      </c>
      <c r="AC9" s="242" t="e">
        <f>Summary!AC18/Summary!AC131*4</f>
        <v>#DIV/0!</v>
      </c>
      <c r="AD9" s="242" t="e">
        <f>Summary!AD18/Summary!AD131*4</f>
        <v>#DIV/0!</v>
      </c>
      <c r="AE9" s="242" t="e">
        <f>Summary!AE18/Summary!AE131*4</f>
        <v>#DIV/0!</v>
      </c>
      <c r="AF9" s="242" t="e">
        <f>Summary!AF18/Summary!AF131*4</f>
        <v>#DIV/0!</v>
      </c>
      <c r="AG9" s="242" t="e">
        <f>Summary!AG18/Summary!AG131*4</f>
        <v>#DIV/0!</v>
      </c>
      <c r="AH9" s="242" t="e">
        <f>Summary!AH18/Summary!AH131*4</f>
        <v>#DIV/0!</v>
      </c>
      <c r="AI9" s="242" t="e">
        <f>Summary!AI18/Summary!AI131*4</f>
        <v>#DIV/0!</v>
      </c>
      <c r="AJ9" s="242" t="e">
        <f>Summary!AJ18/Summary!AJ131*4</f>
        <v>#DIV/0!</v>
      </c>
      <c r="AK9" s="242" t="e">
        <f>Summary!AK18/Summary!AK131*4</f>
        <v>#DIV/0!</v>
      </c>
      <c r="AL9" s="242" t="e">
        <f>Summary!AL18/Summary!AL131*4</f>
        <v>#DIV/0!</v>
      </c>
      <c r="AM9" s="242" t="e">
        <f>Summary!AM18/Summary!AM131*4</f>
        <v>#DIV/0!</v>
      </c>
      <c r="AN9" s="242" t="e">
        <f>Summary!AN18/Summary!AN131*4</f>
        <v>#DIV/0!</v>
      </c>
      <c r="AO9" s="242" t="e">
        <f>Summary!AO18/Summary!AO131*4</f>
        <v>#DIV/0!</v>
      </c>
      <c r="AP9" s="242" t="e">
        <f>Summary!AP18/Summary!AP131*4</f>
        <v>#DIV/0!</v>
      </c>
      <c r="AQ9" s="242" t="e">
        <f>Summary!AQ18/Summary!AQ131*4</f>
        <v>#DIV/0!</v>
      </c>
      <c r="AR9" s="242">
        <f>Summary!AR18/Summary!AR131*4</f>
        <v>-4.602940387817106E-2</v>
      </c>
      <c r="AS9" s="242">
        <f>Summary!AS18/Summary!AS131*4</f>
        <v>-2.0283708382344844E-2</v>
      </c>
      <c r="AT9" s="242">
        <f>Summary!AT18/Summary!AT131*4</f>
        <v>-1.8404467171039531E-2</v>
      </c>
      <c r="AU9" s="242">
        <f>Summary!AU18/Summary!AU131*4</f>
        <v>-1.7140329389477897E-2</v>
      </c>
      <c r="AV9" s="242">
        <f>Summary!AV18/Summary!AV131*4</f>
        <v>-1.5191557571309538E-2</v>
      </c>
      <c r="AW9" s="242">
        <f>Summary!AW18/Summary!AW131*4</f>
        <v>-1.4512725847208524E-2</v>
      </c>
      <c r="AX9" s="242">
        <f>Summary!AX18/Summary!AX131*4</f>
        <v>-1.6336434219119463E-2</v>
      </c>
      <c r="AY9" s="242">
        <f>Summary!AY18/Summary!AY131*4</f>
        <v>-1.6745445722371854E-2</v>
      </c>
      <c r="AZ9" s="242">
        <f>Summary!AZ18/Summary!AZ131*4</f>
        <v>-1.6610983029194063E-2</v>
      </c>
      <c r="BA9" s="242">
        <f>Summary!BA18/Summary!BA131*4</f>
        <v>-1.7710790562362654E-2</v>
      </c>
      <c r="BB9" s="242">
        <f>Summary!BB18/Summary!BB131*4</f>
        <v>-1.8193909415151106E-2</v>
      </c>
      <c r="BC9" s="242">
        <f>Summary!BC18/Summary!BC131*4</f>
        <v>-1.885380980798038E-2</v>
      </c>
      <c r="BD9" s="246">
        <f>Summary!BD18/Summary!BD131*4</f>
        <v>-1.8711376713487434E-2</v>
      </c>
      <c r="BE9" s="246">
        <f>Summary!BE18/Summary!BE131*4</f>
        <v>-1.9200822733785459E-2</v>
      </c>
      <c r="BF9" s="246">
        <f>Summary!BF18/Summary!BF131*4</f>
        <v>-1.9988280862548814E-2</v>
      </c>
      <c r="BG9" s="246">
        <f>Summary!BG18/Summary!BG131*4</f>
        <v>-1.996590669240941E-2</v>
      </c>
      <c r="BH9" s="242">
        <f>Summary!BH18/Summary!BH131*4</f>
        <v>-1.8684769239609194E-2</v>
      </c>
      <c r="BI9" s="242">
        <f>Summary!BI18/Summary!BI131*4</f>
        <v>-1.8844197213474224E-2</v>
      </c>
      <c r="BJ9" s="242">
        <f>Summary!BJ18/Summary!BJ131*4</f>
        <v>-1.9055506714840763E-2</v>
      </c>
      <c r="BK9" s="242">
        <f>Summary!BK18/Summary!BK131*4</f>
        <v>-1.7901461528673619E-2</v>
      </c>
      <c r="BL9" s="242">
        <f>Summary!BL18/Summary!BL131*4</f>
        <v>-1.5910921502360068E-2</v>
      </c>
      <c r="BM9" s="242">
        <f>Summary!BM18/Summary!BM131*4</f>
        <v>-1.7016993127348487E-2</v>
      </c>
      <c r="BN9" s="242">
        <f>Summary!BN18/Summary!BN131*4</f>
        <v>-1.7329079540573476E-2</v>
      </c>
      <c r="BO9" s="242">
        <f>Summary!BO18/Summary!BO131*4</f>
        <v>-1.7045621860053026E-2</v>
      </c>
      <c r="BP9" s="242">
        <f>Summary!BP18/Summary!BP131*4</f>
        <v>-1.7135612582645805E-2</v>
      </c>
      <c r="BQ9" s="242">
        <f>Summary!BQ18/Summary!BQ131*4</f>
        <v>-1.7467477129604399E-2</v>
      </c>
      <c r="BR9" s="242">
        <f>Summary!BR18/Summary!BR131*4</f>
        <v>-1.7594011478651413E-2</v>
      </c>
      <c r="BS9" s="242">
        <f>Summary!BS18/Summary!BS131*4</f>
        <v>-1.8017324932861008E-2</v>
      </c>
      <c r="BT9" s="241">
        <f ca="1">Summary!BT18/Summary!BT131*4</f>
        <v>-2.1274804439796444E-2</v>
      </c>
      <c r="BU9" s="241">
        <f ca="1">Summary!BU18/Summary!BU131*4</f>
        <v>-2.2786625648037025E-2</v>
      </c>
      <c r="BV9" s="241">
        <f ca="1">Summary!BV18/Summary!BV131*4</f>
        <v>-2.380552422127083E-2</v>
      </c>
      <c r="BW9" s="241">
        <f ca="1">Summary!BW18/Summary!BW131*4</f>
        <v>-2.440751480393083E-2</v>
      </c>
      <c r="BX9" s="241">
        <f ca="1">Summary!BX18/Summary!BX131*4</f>
        <v>-2.3801045520898966E-2</v>
      </c>
      <c r="BY9" s="241">
        <f ca="1">Summary!BY18/Summary!BY131*4</f>
        <v>-2.2803324912005641E-2</v>
      </c>
      <c r="BZ9" s="241">
        <f ca="1">Summary!BZ18/Summary!BZ131*4</f>
        <v>-2.2724724590880492E-2</v>
      </c>
      <c r="CA9" s="241">
        <f ca="1">Summary!CA18/Summary!CA131*4</f>
        <v>-2.2292738455431383E-2</v>
      </c>
      <c r="CB9" s="241">
        <f ca="1">Summary!CB18/Summary!CB131*4</f>
        <v>-2.2142987926542426E-2</v>
      </c>
      <c r="CC9" s="241">
        <f ca="1">Summary!CC18/Summary!CC131*4</f>
        <v>-2.1798213776996068E-2</v>
      </c>
      <c r="CD9" s="241">
        <f ca="1">Summary!CD18/Summary!CD131*4</f>
        <v>-2.1522427850241641E-2</v>
      </c>
      <c r="CE9" s="241">
        <f ca="1">Summary!CE18/Summary!CE131*4</f>
        <v>-2.1084718089096666E-2</v>
      </c>
      <c r="CF9" s="241">
        <f ca="1">Summary!CF18/Summary!CF131*4</f>
        <v>-2.1316171723902912E-2</v>
      </c>
      <c r="CG9" s="241">
        <f ca="1">Summary!CG18/Summary!CG131*4</f>
        <v>-2.1366719313348152E-2</v>
      </c>
      <c r="CH9" s="241">
        <f ca="1">Summary!CH18/Summary!CH131*4</f>
        <v>-2.1267728221818862E-2</v>
      </c>
      <c r="CI9" s="241">
        <f ca="1">Summary!CI18/Summary!CI131*4</f>
        <v>-2.0999325116668167E-2</v>
      </c>
      <c r="CJ9" s="241">
        <f ca="1">Summary!CJ18/Summary!CJ131*4</f>
        <v>-2.0886848007609642E-2</v>
      </c>
      <c r="CK9" s="241">
        <f ca="1">Summary!CK18/Summary!CK131*4</f>
        <v>-2.0749032025999838E-2</v>
      </c>
      <c r="CL9" s="241">
        <f ca="1">Summary!CL18/Summary!CL131*4</f>
        <v>-2.0645915698665578E-2</v>
      </c>
      <c r="CM9" s="241">
        <f ca="1">Summary!CM18/Summary!CM131*4</f>
        <v>-2.0402254618404538E-2</v>
      </c>
      <c r="CN9" s="241">
        <f ca="1">Summary!CN18/Summary!CN131*4</f>
        <v>-2.0461466265322036E-2</v>
      </c>
      <c r="CO9" s="241">
        <f ca="1">Summary!CO18/Summary!CO131*4</f>
        <v>-2.0348482073037223E-2</v>
      </c>
      <c r="CP9" s="241">
        <f ca="1">Summary!CP18/Summary!CP131*4</f>
        <v>-2.0253848996519545E-2</v>
      </c>
      <c r="CQ9" s="241">
        <f ca="1">Summary!CQ18/Summary!CQ131*4</f>
        <v>-2.0024974573993392E-2</v>
      </c>
    </row>
    <row r="10" spans="1:95" s="430" customFormat="1" ht="10.199999999999999">
      <c r="A10" s="441" t="s">
        <v>400</v>
      </c>
      <c r="B10" s="439"/>
      <c r="C10" s="439" t="e">
        <f t="shared" ref="C10:S10" si="0">C8+C9</f>
        <v>#DIV/0!</v>
      </c>
      <c r="D10" s="439" t="e">
        <f t="shared" si="0"/>
        <v>#DIV/0!</v>
      </c>
      <c r="E10" s="439" t="e">
        <f t="shared" si="0"/>
        <v>#DIV/0!</v>
      </c>
      <c r="F10" s="439" t="e">
        <f t="shared" si="0"/>
        <v>#DIV/0!</v>
      </c>
      <c r="G10" s="439" t="e">
        <f t="shared" si="0"/>
        <v>#DIV/0!</v>
      </c>
      <c r="H10" s="439" t="e">
        <f t="shared" si="0"/>
        <v>#DIV/0!</v>
      </c>
      <c r="I10" s="439">
        <f t="shared" si="0"/>
        <v>8.4650900885426344E-2</v>
      </c>
      <c r="J10" s="439">
        <f t="shared" si="0"/>
        <v>4.1512596828271422E-2</v>
      </c>
      <c r="K10" s="439">
        <f t="shared" si="0"/>
        <v>4.401546457435538E-2</v>
      </c>
      <c r="L10" s="440">
        <f t="shared" si="0"/>
        <v>4.5067889013983432E-2</v>
      </c>
      <c r="M10" s="440">
        <f t="shared" si="0"/>
        <v>4.5241808615478149E-2</v>
      </c>
      <c r="N10" s="440">
        <f t="shared" si="0"/>
        <v>5.127949067516456E-2</v>
      </c>
      <c r="O10" s="439">
        <f t="shared" si="0"/>
        <v>5.1278143390462105E-2</v>
      </c>
      <c r="P10" s="438">
        <f t="shared" ca="1" si="0"/>
        <v>5.0031732677988203E-2</v>
      </c>
      <c r="Q10" s="438">
        <f t="shared" ca="1" si="0"/>
        <v>5.0036896335394182E-2</v>
      </c>
      <c r="R10" s="438">
        <f t="shared" ca="1" si="0"/>
        <v>5.08703716939507E-2</v>
      </c>
      <c r="S10" s="438">
        <f t="shared" ca="1" si="0"/>
        <v>5.1595182827727994E-2</v>
      </c>
      <c r="T10" s="438">
        <f t="shared" ref="T10:U10" ca="1" si="1">T8+T9</f>
        <v>5.265606478275181E-2</v>
      </c>
      <c r="U10" s="438">
        <f t="shared" ca="1" si="1"/>
        <v>5.3594199594296413E-2</v>
      </c>
      <c r="W10" s="441" t="s">
        <v>400</v>
      </c>
      <c r="X10" s="439" t="e">
        <f t="shared" ref="X10:BC10" si="2">X8+X9</f>
        <v>#DIV/0!</v>
      </c>
      <c r="Y10" s="439" t="e">
        <f t="shared" si="2"/>
        <v>#DIV/0!</v>
      </c>
      <c r="Z10" s="439" t="e">
        <f t="shared" si="2"/>
        <v>#DIV/0!</v>
      </c>
      <c r="AA10" s="439" t="e">
        <f t="shared" si="2"/>
        <v>#DIV/0!</v>
      </c>
      <c r="AB10" s="439" t="e">
        <f t="shared" si="2"/>
        <v>#DIV/0!</v>
      </c>
      <c r="AC10" s="439" t="e">
        <f t="shared" si="2"/>
        <v>#DIV/0!</v>
      </c>
      <c r="AD10" s="439" t="e">
        <f t="shared" si="2"/>
        <v>#DIV/0!</v>
      </c>
      <c r="AE10" s="439" t="e">
        <f t="shared" si="2"/>
        <v>#DIV/0!</v>
      </c>
      <c r="AF10" s="439" t="e">
        <f t="shared" si="2"/>
        <v>#DIV/0!</v>
      </c>
      <c r="AG10" s="439" t="e">
        <f t="shared" si="2"/>
        <v>#DIV/0!</v>
      </c>
      <c r="AH10" s="439" t="e">
        <f t="shared" si="2"/>
        <v>#DIV/0!</v>
      </c>
      <c r="AI10" s="439" t="e">
        <f t="shared" si="2"/>
        <v>#DIV/0!</v>
      </c>
      <c r="AJ10" s="439" t="e">
        <f t="shared" si="2"/>
        <v>#DIV/0!</v>
      </c>
      <c r="AK10" s="439" t="e">
        <f t="shared" si="2"/>
        <v>#DIV/0!</v>
      </c>
      <c r="AL10" s="439" t="e">
        <f t="shared" si="2"/>
        <v>#DIV/0!</v>
      </c>
      <c r="AM10" s="439" t="e">
        <f t="shared" si="2"/>
        <v>#DIV/0!</v>
      </c>
      <c r="AN10" s="439" t="e">
        <f t="shared" si="2"/>
        <v>#DIV/0!</v>
      </c>
      <c r="AO10" s="439" t="e">
        <f t="shared" si="2"/>
        <v>#DIV/0!</v>
      </c>
      <c r="AP10" s="439" t="e">
        <f t="shared" si="2"/>
        <v>#DIV/0!</v>
      </c>
      <c r="AQ10" s="439" t="e">
        <f t="shared" si="2"/>
        <v>#DIV/0!</v>
      </c>
      <c r="AR10" s="439">
        <f t="shared" si="2"/>
        <v>7.8973584394775254E-2</v>
      </c>
      <c r="AS10" s="439">
        <f t="shared" si="2"/>
        <v>4.3270917697143613E-2</v>
      </c>
      <c r="AT10" s="439">
        <f t="shared" si="2"/>
        <v>4.3173961141106602E-2</v>
      </c>
      <c r="AU10" s="439">
        <f t="shared" si="2"/>
        <v>4.4425263220849359E-2</v>
      </c>
      <c r="AV10" s="439">
        <f t="shared" si="2"/>
        <v>4.2805923614531415E-2</v>
      </c>
      <c r="AW10" s="439">
        <f t="shared" si="2"/>
        <v>4.3791290140257962E-2</v>
      </c>
      <c r="AX10" s="439">
        <f t="shared" si="2"/>
        <v>4.3009421173768068E-2</v>
      </c>
      <c r="AY10" s="439">
        <f t="shared" si="2"/>
        <v>4.1206101301962707E-2</v>
      </c>
      <c r="AZ10" s="439">
        <f t="shared" si="2"/>
        <v>4.2594901808183191E-2</v>
      </c>
      <c r="BA10" s="439">
        <f t="shared" si="2"/>
        <v>4.2132961057041396E-2</v>
      </c>
      <c r="BB10" s="439">
        <f t="shared" si="2"/>
        <v>4.4330102999685636E-2</v>
      </c>
      <c r="BC10" s="439">
        <f t="shared" si="2"/>
        <v>4.6362834146154136E-2</v>
      </c>
      <c r="BD10" s="440">
        <f t="shared" ref="BD10:CI10" si="3">BD8+BD9</f>
        <v>4.5704446149190434E-2</v>
      </c>
      <c r="BE10" s="440">
        <f t="shared" si="3"/>
        <v>4.5570963673652071E-2</v>
      </c>
      <c r="BF10" s="440">
        <f t="shared" si="3"/>
        <v>4.5278338452664928E-2</v>
      </c>
      <c r="BG10" s="440">
        <f t="shared" si="3"/>
        <v>4.3713617385561968E-2</v>
      </c>
      <c r="BH10" s="439">
        <f t="shared" si="3"/>
        <v>4.3335753006256167E-2</v>
      </c>
      <c r="BI10" s="439">
        <f t="shared" ref="BI10" si="4">BI8+BI9</f>
        <v>4.3414496083641126E-2</v>
      </c>
      <c r="BJ10" s="439">
        <f t="shared" si="3"/>
        <v>4.6041770105052983E-2</v>
      </c>
      <c r="BK10" s="439">
        <f t="shared" si="3"/>
        <v>4.66305156205035E-2</v>
      </c>
      <c r="BL10" s="439">
        <f t="shared" ref="BL10" si="5">BL8+BL9</f>
        <v>4.7006798552983023E-2</v>
      </c>
      <c r="BM10" s="439">
        <f t="shared" si="3"/>
        <v>5.1299081552933889E-2</v>
      </c>
      <c r="BN10" s="439">
        <f t="shared" ref="BN10:BO10" si="6">BN8+BN9</f>
        <v>5.1923434578717356E-2</v>
      </c>
      <c r="BO10" s="439">
        <f t="shared" si="6"/>
        <v>5.1066415686308916E-2</v>
      </c>
      <c r="BP10" s="439">
        <f t="shared" si="3"/>
        <v>5.1690600532209391E-2</v>
      </c>
      <c r="BQ10" s="439">
        <f t="shared" ref="BQ10:BR10" si="7">BQ8+BQ9</f>
        <v>5.1733294508019563E-2</v>
      </c>
      <c r="BR10" s="439">
        <f t="shared" si="7"/>
        <v>5.0449393186632441E-2</v>
      </c>
      <c r="BS10" s="439">
        <f t="shared" ref="BS10" si="8">BS8+BS9</f>
        <v>5.122623875454041E-2</v>
      </c>
      <c r="BT10" s="438">
        <f t="shared" ca="1" si="3"/>
        <v>4.9493823723426963E-2</v>
      </c>
      <c r="BU10" s="438">
        <f t="shared" ca="1" si="3"/>
        <v>4.8559979049493544E-2</v>
      </c>
      <c r="BV10" s="438">
        <f t="shared" ca="1" si="3"/>
        <v>4.9113047155762479E-2</v>
      </c>
      <c r="BW10" s="438">
        <f t="shared" ca="1" si="3"/>
        <v>4.9321148083833477E-2</v>
      </c>
      <c r="BX10" s="438">
        <f t="shared" ca="1" si="3"/>
        <v>4.9372535139082532E-2</v>
      </c>
      <c r="BY10" s="438">
        <f t="shared" ca="1" si="3"/>
        <v>4.9539699887699171E-2</v>
      </c>
      <c r="BZ10" s="438">
        <f t="shared" ca="1" si="3"/>
        <v>4.9504415816655316E-2</v>
      </c>
      <c r="CA10" s="438">
        <f t="shared" ca="1" si="3"/>
        <v>4.9857032941207996E-2</v>
      </c>
      <c r="CB10" s="438">
        <f t="shared" ca="1" si="3"/>
        <v>4.9508661415042232E-2</v>
      </c>
      <c r="CC10" s="438">
        <f t="shared" ca="1" si="3"/>
        <v>5.0359494884995158E-2</v>
      </c>
      <c r="CD10" s="438">
        <f t="shared" ca="1" si="3"/>
        <v>5.0616980811565682E-2</v>
      </c>
      <c r="CE10" s="438">
        <f t="shared" ca="1" si="3"/>
        <v>5.1484142045453596E-2</v>
      </c>
      <c r="CF10" s="438">
        <f t="shared" ca="1" si="3"/>
        <v>5.114781900107248E-2</v>
      </c>
      <c r="CG10" s="438">
        <f t="shared" ca="1" si="3"/>
        <v>5.1172697861609599E-2</v>
      </c>
      <c r="CH10" s="438">
        <f t="shared" ca="1" si="3"/>
        <v>5.1240778759116069E-2</v>
      </c>
      <c r="CI10" s="438">
        <f t="shared" ca="1" si="3"/>
        <v>5.1735593005875512E-2</v>
      </c>
      <c r="CJ10" s="438">
        <f t="shared" ref="CJ10:CM10" ca="1" si="9">CJ8+CJ9</f>
        <v>5.196083354777168E-2</v>
      </c>
      <c r="CK10" s="438">
        <f t="shared" ca="1" si="9"/>
        <v>5.2397714874646673E-2</v>
      </c>
      <c r="CL10" s="438">
        <f t="shared" ca="1" si="9"/>
        <v>5.2674397187204673E-2</v>
      </c>
      <c r="CM10" s="438">
        <f t="shared" ca="1" si="9"/>
        <v>5.3113367307401883E-2</v>
      </c>
      <c r="CN10" s="438">
        <f t="shared" ref="CN10:CQ10" ca="1" si="10">CN8+CN9</f>
        <v>5.3132506484794326E-2</v>
      </c>
      <c r="CO10" s="438">
        <f t="shared" ca="1" si="10"/>
        <v>5.3511898877422241E-2</v>
      </c>
      <c r="CP10" s="438">
        <f t="shared" ca="1" si="10"/>
        <v>5.3746753511802185E-2</v>
      </c>
      <c r="CQ10" s="438">
        <f t="shared" ca="1" si="10"/>
        <v>5.4135985817683738E-2</v>
      </c>
    </row>
    <row r="11" spans="1:95" s="424" customFormat="1" ht="10.199999999999999">
      <c r="A11" s="424" t="s">
        <v>399</v>
      </c>
      <c r="B11" s="242"/>
      <c r="C11" s="242" t="e">
        <f>Summary!C22/Summary!C131</f>
        <v>#DIV/0!</v>
      </c>
      <c r="D11" s="242" t="e">
        <f>Summary!D22/Summary!D131</f>
        <v>#DIV/0!</v>
      </c>
      <c r="E11" s="242" t="e">
        <f>Summary!E22/Summary!E131</f>
        <v>#DIV/0!</v>
      </c>
      <c r="F11" s="242" t="e">
        <f>Summary!F22/Summary!F131</f>
        <v>#DIV/0!</v>
      </c>
      <c r="G11" s="242" t="e">
        <f>Summary!G22/Summary!G131</f>
        <v>#DIV/0!</v>
      </c>
      <c r="H11" s="242" t="e">
        <f>Summary!H22/Summary!H131</f>
        <v>#DIV/0!</v>
      </c>
      <c r="I11" s="242">
        <f>Summary!I22/Summary!I131</f>
        <v>-1.5263149077295635E-2</v>
      </c>
      <c r="J11" s="242">
        <f>Summary!J22/Summary!J131</f>
        <v>-6.8545670640160553E-3</v>
      </c>
      <c r="K11" s="242">
        <f>Summary!K22/Summary!K131</f>
        <v>-7.2323485806646453E-3</v>
      </c>
      <c r="L11" s="246">
        <f>Summary!L22/Summary!L131</f>
        <v>-1.055901919362604E-2</v>
      </c>
      <c r="M11" s="246">
        <f>Summary!M22/Summary!M131</f>
        <v>-1.1284399367531624E-2</v>
      </c>
      <c r="N11" s="246">
        <f>Summary!N22/Summary!N131</f>
        <v>-1.3726745249874644E-2</v>
      </c>
      <c r="O11" s="242">
        <f>Summary!O22/Summary!O131</f>
        <v>-1.2920335038402864E-2</v>
      </c>
      <c r="P11" s="241">
        <f>Summary!P22/Summary!P131</f>
        <v>-1.295938650378918E-2</v>
      </c>
      <c r="Q11" s="241">
        <f>Summary!Q22/Summary!Q131</f>
        <v>-1.297244238415767E-2</v>
      </c>
      <c r="R11" s="241">
        <f>Summary!R22/Summary!R131</f>
        <v>-1.3207347922125334E-2</v>
      </c>
      <c r="S11" s="241">
        <f>Summary!S22/Summary!S131</f>
        <v>-1.3309099046680904E-2</v>
      </c>
      <c r="T11" s="241">
        <f>Summary!T22/Summary!T131</f>
        <v>-1.3504092643688362E-2</v>
      </c>
      <c r="U11" s="241">
        <f>Summary!U22/Summary!U131</f>
        <v>-1.3650290475694044E-2</v>
      </c>
      <c r="W11" s="424" t="s">
        <v>399</v>
      </c>
      <c r="X11" s="242" t="e">
        <f>Summary!X22/Summary!X131*4</f>
        <v>#DIV/0!</v>
      </c>
      <c r="Y11" s="242" t="e">
        <f>Summary!Y22/Summary!Y131*4</f>
        <v>#DIV/0!</v>
      </c>
      <c r="Z11" s="242" t="e">
        <f>Summary!Z22/Summary!Z131*4</f>
        <v>#DIV/0!</v>
      </c>
      <c r="AA11" s="242" t="e">
        <f>Summary!AA22/Summary!AA131*4</f>
        <v>#DIV/0!</v>
      </c>
      <c r="AB11" s="242" t="e">
        <f>Summary!AB22/Summary!AB131*4</f>
        <v>#DIV/0!</v>
      </c>
      <c r="AC11" s="242" t="e">
        <f>Summary!AC22/Summary!AC131*4</f>
        <v>#DIV/0!</v>
      </c>
      <c r="AD11" s="242" t="e">
        <f>Summary!AD22/Summary!AD131*4</f>
        <v>#DIV/0!</v>
      </c>
      <c r="AE11" s="242" t="e">
        <f>Summary!AE22/Summary!AE131*4</f>
        <v>#DIV/0!</v>
      </c>
      <c r="AF11" s="242" t="e">
        <f>Summary!AF22/Summary!AF131*4</f>
        <v>#DIV/0!</v>
      </c>
      <c r="AG11" s="242" t="e">
        <f>Summary!AG22/Summary!AG131*4</f>
        <v>#DIV/0!</v>
      </c>
      <c r="AH11" s="242" t="e">
        <f>Summary!AH22/Summary!AH131*4</f>
        <v>#DIV/0!</v>
      </c>
      <c r="AI11" s="242" t="e">
        <f>Summary!AI22/Summary!AI131*4</f>
        <v>#DIV/0!</v>
      </c>
      <c r="AJ11" s="242" t="e">
        <f>Summary!AJ22/Summary!AJ131*4</f>
        <v>#DIV/0!</v>
      </c>
      <c r="AK11" s="242" t="e">
        <f>Summary!AK22/Summary!AK131*4</f>
        <v>#DIV/0!</v>
      </c>
      <c r="AL11" s="242" t="e">
        <f>Summary!AL22/Summary!AL131*4</f>
        <v>#DIV/0!</v>
      </c>
      <c r="AM11" s="242" t="e">
        <f>Summary!AM22/Summary!AM131*4</f>
        <v>#DIV/0!</v>
      </c>
      <c r="AN11" s="242" t="e">
        <f>Summary!AN22/Summary!AN131*4</f>
        <v>#DIV/0!</v>
      </c>
      <c r="AO11" s="242" t="e">
        <f>Summary!AO22/Summary!AO131*4</f>
        <v>#DIV/0!</v>
      </c>
      <c r="AP11" s="242" t="e">
        <f>Summary!AP22/Summary!AP131*4</f>
        <v>#DIV/0!</v>
      </c>
      <c r="AQ11" s="242" t="e">
        <f>Summary!AQ22/Summary!AQ131*4</f>
        <v>#DIV/0!</v>
      </c>
      <c r="AR11" s="242">
        <f>Summary!AR22/Summary!AR131*4</f>
        <v>-1.0156107630855173E-2</v>
      </c>
      <c r="AS11" s="242">
        <f>Summary!AS22/Summary!AS131*4</f>
        <v>-1.0132310274941759E-2</v>
      </c>
      <c r="AT11" s="242">
        <f>Summary!AT22/Summary!AT131*4</f>
        <v>-7.3285643105341601E-3</v>
      </c>
      <c r="AU11" s="242">
        <f>Summary!AU22/Summary!AU131*4</f>
        <v>-8.221547615454159E-3</v>
      </c>
      <c r="AV11" s="242">
        <f>Summary!AV22/Summary!AV131*4</f>
        <v>-7.5239633249919819E-3</v>
      </c>
      <c r="AW11" s="242">
        <f>Summary!AW22/Summary!AW131*4</f>
        <v>-5.2349751753559678E-3</v>
      </c>
      <c r="AX11" s="242">
        <f>Summary!AX22/Summary!AX131*4</f>
        <v>-8.293184388231482E-3</v>
      </c>
      <c r="AY11" s="242">
        <f>Summary!AY22/Summary!AY131*4</f>
        <v>-7.0597188044588394E-3</v>
      </c>
      <c r="AZ11" s="242">
        <f>Summary!AZ22/Summary!AZ131*4</f>
        <v>-5.7039801172746639E-3</v>
      </c>
      <c r="BA11" s="242">
        <f>Summary!BA22/Summary!BA131*4</f>
        <v>-8.1724961663873028E-3</v>
      </c>
      <c r="BB11" s="242">
        <f>Summary!BB22/Summary!BB131*4</f>
        <v>-5.7264656868907578E-3</v>
      </c>
      <c r="BC11" s="242">
        <f>Summary!BC22/Summary!BC131*4</f>
        <v>-9.1909145359225109E-3</v>
      </c>
      <c r="BD11" s="246">
        <f>Summary!BD22/Summary!BD131*4</f>
        <v>-8.5449828220609605E-3</v>
      </c>
      <c r="BE11" s="246">
        <f>Summary!BE22/Summary!BE131*4</f>
        <v>-1.2815201589765608E-2</v>
      </c>
      <c r="BF11" s="246">
        <f>Summary!BF22/Summary!BF131*4</f>
        <v>-1.0288405655649624E-2</v>
      </c>
      <c r="BG11" s="246">
        <f>Summary!BG22/Summary!BG131*4</f>
        <v>-1.0456285025363504E-2</v>
      </c>
      <c r="BH11" s="242">
        <f>Summary!BH22/Summary!BH131*4</f>
        <v>-9.1159886655991385E-3</v>
      </c>
      <c r="BI11" s="242">
        <f>Summary!BI22/Summary!BI131*4</f>
        <v>-1.1335074685275677E-2</v>
      </c>
      <c r="BJ11" s="242">
        <f>Summary!BJ22/Summary!BJ131*4</f>
        <v>-1.1901605933386251E-2</v>
      </c>
      <c r="BK11" s="242">
        <f>Summary!BK22/Summary!BK131*4</f>
        <v>-1.2333566963869369E-2</v>
      </c>
      <c r="BL11" s="242">
        <f>Summary!BL22/Summary!BL131*4</f>
        <v>-1.2226865616400392E-2</v>
      </c>
      <c r="BM11" s="242">
        <f>Summary!BM22/Summary!BM131*4</f>
        <v>-1.5312672321653809E-2</v>
      </c>
      <c r="BN11" s="242">
        <f>Summary!BN22/Summary!BN131*4</f>
        <v>-1.3340310668798512E-2</v>
      </c>
      <c r="BO11" s="242">
        <f>Summary!BO22/Summary!BO131*4</f>
        <v>-1.3047344212254581E-2</v>
      </c>
      <c r="BP11" s="242">
        <f>Summary!BP22/Summary!BP131*4</f>
        <v>-1.4538058304580916E-2</v>
      </c>
      <c r="BQ11" s="242">
        <f>Summary!BQ22/Summary!BQ131*4</f>
        <v>-1.2157915543580476E-2</v>
      </c>
      <c r="BR11" s="242">
        <f>Summary!BR22/Summary!BR131*4</f>
        <v>-1.2009778582366062E-2</v>
      </c>
      <c r="BS11" s="242">
        <f>Summary!BS22/Summary!BS131*4</f>
        <v>-1.3032527293071113E-2</v>
      </c>
      <c r="BT11" s="241">
        <f>Summary!BT22/Summary!BT131*4</f>
        <v>-1.2690634735266968E-2</v>
      </c>
      <c r="BU11" s="241">
        <f>Summary!BU22/Summary!BU131*4</f>
        <v>-1.2834799499759287E-2</v>
      </c>
      <c r="BV11" s="241">
        <f>Summary!BV22/Summary!BV131*4</f>
        <v>-1.2668005762691838E-2</v>
      </c>
      <c r="BW11" s="241">
        <f>Summary!BW22/Summary!BW131*4</f>
        <v>-1.270177850621926E-2</v>
      </c>
      <c r="BX11" s="241">
        <f>Summary!BX22/Summary!BX131*4</f>
        <v>-1.257338136658326E-2</v>
      </c>
      <c r="BY11" s="241">
        <f>Summary!BY22/Summary!BY131*4</f>
        <v>-1.2684252554749718E-2</v>
      </c>
      <c r="BZ11" s="241">
        <f>Summary!BZ22/Summary!BZ131*4</f>
        <v>-1.2862953382444347E-2</v>
      </c>
      <c r="CA11" s="241">
        <f>Summary!CA22/Summary!CA131*4</f>
        <v>-1.3262422312564619E-2</v>
      </c>
      <c r="CB11" s="241">
        <f>Summary!CB22/Summary!CB131*4</f>
        <v>-1.3193115114720863E-2</v>
      </c>
      <c r="CC11" s="241">
        <f>Summary!CC22/Summary!CC131*4</f>
        <v>-1.3208973713670292E-2</v>
      </c>
      <c r="CD11" s="241">
        <f>Summary!CD22/Summary!CD131*4</f>
        <v>-1.30426374975002E-2</v>
      </c>
      <c r="CE11" s="241">
        <f>Summary!CE22/Summary!CE131*4</f>
        <v>-1.3016786360889801E-2</v>
      </c>
      <c r="CF11" s="241">
        <f>Summary!CF22/Summary!CF131*4</f>
        <v>-1.2974257590286344E-2</v>
      </c>
      <c r="CG11" s="241">
        <f>Summary!CG22/Summary!CG131*4</f>
        <v>-1.3182523456702587E-2</v>
      </c>
      <c r="CH11" s="241">
        <f>Summary!CH22/Summary!CH131*4</f>
        <v>-1.3283780091961466E-2</v>
      </c>
      <c r="CI11" s="241">
        <f>Summary!CI22/Summary!CI131*4</f>
        <v>-1.350286705819953E-2</v>
      </c>
      <c r="CJ11" s="241">
        <f>Summary!CJ22/Summary!CJ131*4</f>
        <v>-1.3368030245902194E-2</v>
      </c>
      <c r="CK11" s="241">
        <f>Summary!CK22/Summary!CK131*4</f>
        <v>-1.3421656916965778E-2</v>
      </c>
      <c r="CL11" s="241">
        <f>Summary!CL22/Summary!CL131*4</f>
        <v>-1.3445835093642089E-2</v>
      </c>
      <c r="CM11" s="241">
        <f>Summary!CM22/Summary!CM131*4</f>
        <v>-1.3658887483659668E-2</v>
      </c>
      <c r="CN11" s="241">
        <f>Summary!CN22/Summary!CN131*4</f>
        <v>-1.3420107960918146E-2</v>
      </c>
      <c r="CO11" s="241">
        <f>Summary!CO22/Summary!CO131*4</f>
        <v>-1.3538493501394732E-2</v>
      </c>
      <c r="CP11" s="241">
        <f>Summary!CP22/Summary!CP131*4</f>
        <v>-1.3766031277032681E-2</v>
      </c>
      <c r="CQ11" s="241">
        <f>Summary!CQ22/Summary!CQ131*4</f>
        <v>-1.3904351335610878E-2</v>
      </c>
    </row>
    <row r="12" spans="1:95" s="430" customFormat="1" ht="10.199999999999999">
      <c r="A12" s="441" t="s">
        <v>398</v>
      </c>
      <c r="B12" s="439"/>
      <c r="C12" s="439" t="e">
        <f t="shared" ref="C12:S12" si="11">C10+C11</f>
        <v>#DIV/0!</v>
      </c>
      <c r="D12" s="439" t="e">
        <f t="shared" si="11"/>
        <v>#DIV/0!</v>
      </c>
      <c r="E12" s="439" t="e">
        <f t="shared" si="11"/>
        <v>#DIV/0!</v>
      </c>
      <c r="F12" s="439" t="e">
        <f t="shared" si="11"/>
        <v>#DIV/0!</v>
      </c>
      <c r="G12" s="439" t="e">
        <f t="shared" si="11"/>
        <v>#DIV/0!</v>
      </c>
      <c r="H12" s="439" t="e">
        <f t="shared" si="11"/>
        <v>#DIV/0!</v>
      </c>
      <c r="I12" s="439">
        <f t="shared" si="11"/>
        <v>6.9387751808130713E-2</v>
      </c>
      <c r="J12" s="439">
        <f t="shared" si="11"/>
        <v>3.4658029764255367E-2</v>
      </c>
      <c r="K12" s="439">
        <f t="shared" si="11"/>
        <v>3.6783115993690732E-2</v>
      </c>
      <c r="L12" s="440">
        <f t="shared" si="11"/>
        <v>3.4508869820357391E-2</v>
      </c>
      <c r="M12" s="440">
        <f t="shared" si="11"/>
        <v>3.3957409247946525E-2</v>
      </c>
      <c r="N12" s="440">
        <f t="shared" si="11"/>
        <v>3.7552745425289913E-2</v>
      </c>
      <c r="O12" s="439">
        <f t="shared" si="11"/>
        <v>3.8357808352059243E-2</v>
      </c>
      <c r="P12" s="438">
        <f t="shared" ca="1" si="11"/>
        <v>3.7072346174199022E-2</v>
      </c>
      <c r="Q12" s="438">
        <f t="shared" ca="1" si="11"/>
        <v>3.706445395123651E-2</v>
      </c>
      <c r="R12" s="438">
        <f t="shared" ca="1" si="11"/>
        <v>3.7663023771825364E-2</v>
      </c>
      <c r="S12" s="438">
        <f t="shared" ca="1" si="11"/>
        <v>3.8286083781047087E-2</v>
      </c>
      <c r="T12" s="438">
        <f t="shared" ref="T12:U12" ca="1" si="12">T10+T11</f>
        <v>3.9151972139063448E-2</v>
      </c>
      <c r="U12" s="438">
        <f t="shared" ca="1" si="12"/>
        <v>3.9943909118602371E-2</v>
      </c>
      <c r="W12" s="441" t="s">
        <v>398</v>
      </c>
      <c r="X12" s="439" t="e">
        <f t="shared" ref="X12:BC12" si="13">X10+X11</f>
        <v>#DIV/0!</v>
      </c>
      <c r="Y12" s="439" t="e">
        <f t="shared" si="13"/>
        <v>#DIV/0!</v>
      </c>
      <c r="Z12" s="439" t="e">
        <f t="shared" si="13"/>
        <v>#DIV/0!</v>
      </c>
      <c r="AA12" s="439" t="e">
        <f t="shared" si="13"/>
        <v>#DIV/0!</v>
      </c>
      <c r="AB12" s="439" t="e">
        <f t="shared" si="13"/>
        <v>#DIV/0!</v>
      </c>
      <c r="AC12" s="439" t="e">
        <f t="shared" si="13"/>
        <v>#DIV/0!</v>
      </c>
      <c r="AD12" s="439" t="e">
        <f t="shared" si="13"/>
        <v>#DIV/0!</v>
      </c>
      <c r="AE12" s="439" t="e">
        <f t="shared" si="13"/>
        <v>#DIV/0!</v>
      </c>
      <c r="AF12" s="439" t="e">
        <f t="shared" si="13"/>
        <v>#DIV/0!</v>
      </c>
      <c r="AG12" s="439" t="e">
        <f t="shared" si="13"/>
        <v>#DIV/0!</v>
      </c>
      <c r="AH12" s="439" t="e">
        <f t="shared" si="13"/>
        <v>#DIV/0!</v>
      </c>
      <c r="AI12" s="439" t="e">
        <f t="shared" si="13"/>
        <v>#DIV/0!</v>
      </c>
      <c r="AJ12" s="439" t="e">
        <f t="shared" si="13"/>
        <v>#DIV/0!</v>
      </c>
      <c r="AK12" s="439" t="e">
        <f t="shared" si="13"/>
        <v>#DIV/0!</v>
      </c>
      <c r="AL12" s="439" t="e">
        <f t="shared" si="13"/>
        <v>#DIV/0!</v>
      </c>
      <c r="AM12" s="439" t="e">
        <f t="shared" si="13"/>
        <v>#DIV/0!</v>
      </c>
      <c r="AN12" s="439" t="e">
        <f t="shared" si="13"/>
        <v>#DIV/0!</v>
      </c>
      <c r="AO12" s="439" t="e">
        <f t="shared" si="13"/>
        <v>#DIV/0!</v>
      </c>
      <c r="AP12" s="439" t="e">
        <f t="shared" si="13"/>
        <v>#DIV/0!</v>
      </c>
      <c r="AQ12" s="439" t="e">
        <f t="shared" si="13"/>
        <v>#DIV/0!</v>
      </c>
      <c r="AR12" s="439">
        <f t="shared" si="13"/>
        <v>6.8817476763920082E-2</v>
      </c>
      <c r="AS12" s="439">
        <f t="shared" si="13"/>
        <v>3.3138607422201857E-2</v>
      </c>
      <c r="AT12" s="439">
        <f t="shared" si="13"/>
        <v>3.5845396830572446E-2</v>
      </c>
      <c r="AU12" s="439">
        <f t="shared" si="13"/>
        <v>3.6203715605395204E-2</v>
      </c>
      <c r="AV12" s="439">
        <f t="shared" si="13"/>
        <v>3.5281960289539435E-2</v>
      </c>
      <c r="AW12" s="439">
        <f t="shared" si="13"/>
        <v>3.8556314964901993E-2</v>
      </c>
      <c r="AX12" s="439">
        <f t="shared" si="13"/>
        <v>3.4716236785536585E-2</v>
      </c>
      <c r="AY12" s="439">
        <f t="shared" si="13"/>
        <v>3.4146382497503867E-2</v>
      </c>
      <c r="AZ12" s="439">
        <f t="shared" si="13"/>
        <v>3.6890921690908525E-2</v>
      </c>
      <c r="BA12" s="439">
        <f t="shared" si="13"/>
        <v>3.3960464890654095E-2</v>
      </c>
      <c r="BB12" s="439">
        <f t="shared" si="13"/>
        <v>3.8603637312794876E-2</v>
      </c>
      <c r="BC12" s="439">
        <f t="shared" si="13"/>
        <v>3.7171919610231627E-2</v>
      </c>
      <c r="BD12" s="440">
        <f t="shared" ref="BD12:CI12" si="14">BD10+BD11</f>
        <v>3.7159463327129473E-2</v>
      </c>
      <c r="BE12" s="440">
        <f t="shared" si="14"/>
        <v>3.2755762083886461E-2</v>
      </c>
      <c r="BF12" s="440">
        <f t="shared" si="14"/>
        <v>3.4989932797015302E-2</v>
      </c>
      <c r="BG12" s="440">
        <f t="shared" si="14"/>
        <v>3.3257332360198462E-2</v>
      </c>
      <c r="BH12" s="439">
        <f t="shared" si="14"/>
        <v>3.421976434065703E-2</v>
      </c>
      <c r="BI12" s="439">
        <f t="shared" ref="BI12" si="15">BI10+BI11</f>
        <v>3.2079421398365449E-2</v>
      </c>
      <c r="BJ12" s="439">
        <f t="shared" si="14"/>
        <v>3.414016417166673E-2</v>
      </c>
      <c r="BK12" s="439">
        <f t="shared" si="14"/>
        <v>3.429694865663413E-2</v>
      </c>
      <c r="BL12" s="439">
        <f t="shared" ref="BL12" si="16">BL10+BL11</f>
        <v>3.477993293658263E-2</v>
      </c>
      <c r="BM12" s="439">
        <f t="shared" si="14"/>
        <v>3.5986409231280082E-2</v>
      </c>
      <c r="BN12" s="439">
        <f t="shared" ref="BN12:BO12" si="17">BN10+BN11</f>
        <v>3.8583123909918846E-2</v>
      </c>
      <c r="BO12" s="439">
        <f t="shared" si="17"/>
        <v>3.8019071474054339E-2</v>
      </c>
      <c r="BP12" s="439">
        <f t="shared" si="14"/>
        <v>3.7152542227628475E-2</v>
      </c>
      <c r="BQ12" s="439">
        <f t="shared" ref="BQ12:BR12" si="18">BQ10+BQ11</f>
        <v>3.9575378964439085E-2</v>
      </c>
      <c r="BR12" s="439">
        <f t="shared" si="18"/>
        <v>3.8439614604266377E-2</v>
      </c>
      <c r="BS12" s="439">
        <f t="shared" ref="BS12" si="19">BS10+BS11</f>
        <v>3.8193711461469299E-2</v>
      </c>
      <c r="BT12" s="438">
        <f t="shared" ca="1" si="14"/>
        <v>3.6803188988159999E-2</v>
      </c>
      <c r="BU12" s="438">
        <f t="shared" ca="1" si="14"/>
        <v>3.5725179549734254E-2</v>
      </c>
      <c r="BV12" s="438">
        <f t="shared" ca="1" si="14"/>
        <v>3.6445041393070643E-2</v>
      </c>
      <c r="BW12" s="438">
        <f t="shared" ca="1" si="14"/>
        <v>3.6619369577614219E-2</v>
      </c>
      <c r="BX12" s="438">
        <f t="shared" ca="1" si="14"/>
        <v>3.6799153772499274E-2</v>
      </c>
      <c r="BY12" s="438">
        <f t="shared" ca="1" si="14"/>
        <v>3.6855447332949452E-2</v>
      </c>
      <c r="BZ12" s="438">
        <f t="shared" ca="1" si="14"/>
        <v>3.6641462434210972E-2</v>
      </c>
      <c r="CA12" s="438">
        <f t="shared" ca="1" si="14"/>
        <v>3.6594610628643373E-2</v>
      </c>
      <c r="CB12" s="438">
        <f t="shared" ca="1" si="14"/>
        <v>3.6315546300321369E-2</v>
      </c>
      <c r="CC12" s="438">
        <f t="shared" ca="1" si="14"/>
        <v>3.7150521171324863E-2</v>
      </c>
      <c r="CD12" s="438">
        <f t="shared" ca="1" si="14"/>
        <v>3.7574343314065478E-2</v>
      </c>
      <c r="CE12" s="438">
        <f t="shared" ca="1" si="14"/>
        <v>3.8467355684563796E-2</v>
      </c>
      <c r="CF12" s="438">
        <f t="shared" ca="1" si="14"/>
        <v>3.8173561410786136E-2</v>
      </c>
      <c r="CG12" s="438">
        <f t="shared" ca="1" si="14"/>
        <v>3.7990174404907012E-2</v>
      </c>
      <c r="CH12" s="438">
        <f t="shared" ca="1" si="14"/>
        <v>3.7956998667154601E-2</v>
      </c>
      <c r="CI12" s="438">
        <f t="shared" ca="1" si="14"/>
        <v>3.8232725947675981E-2</v>
      </c>
      <c r="CJ12" s="438">
        <f t="shared" ref="CJ12:CM12" ca="1" si="20">CJ10+CJ11</f>
        <v>3.8592803301869483E-2</v>
      </c>
      <c r="CK12" s="438">
        <f t="shared" ca="1" si="20"/>
        <v>3.8976057957680894E-2</v>
      </c>
      <c r="CL12" s="438">
        <f t="shared" ca="1" si="20"/>
        <v>3.9228562093562583E-2</v>
      </c>
      <c r="CM12" s="438">
        <f t="shared" ca="1" si="20"/>
        <v>3.9454479823742214E-2</v>
      </c>
      <c r="CN12" s="438">
        <f t="shared" ref="CN12:CQ12" ca="1" si="21">CN10+CN11</f>
        <v>3.9712398523876181E-2</v>
      </c>
      <c r="CO12" s="438">
        <f t="shared" ca="1" si="21"/>
        <v>3.9973405376027511E-2</v>
      </c>
      <c r="CP12" s="438">
        <f t="shared" ca="1" si="21"/>
        <v>3.9980722234769506E-2</v>
      </c>
      <c r="CQ12" s="438">
        <f t="shared" ca="1" si="21"/>
        <v>4.0231634482072856E-2</v>
      </c>
    </row>
    <row r="13" spans="1:95" s="424" customFormat="1" ht="10.199999999999999">
      <c r="A13" s="424" t="s">
        <v>397</v>
      </c>
      <c r="B13" s="242"/>
      <c r="C13" s="242" t="e">
        <f>Summary!C26/Summary!C131</f>
        <v>#DIV/0!</v>
      </c>
      <c r="D13" s="242" t="e">
        <f>Summary!D26/Summary!D131</f>
        <v>#DIV/0!</v>
      </c>
      <c r="E13" s="242" t="e">
        <f>Summary!E26/Summary!E131</f>
        <v>#DIV/0!</v>
      </c>
      <c r="F13" s="242" t="e">
        <f>Summary!F26/Summary!F131</f>
        <v>#DIV/0!</v>
      </c>
      <c r="G13" s="242" t="e">
        <f>Summary!G26/Summary!G131</f>
        <v>#DIV/0!</v>
      </c>
      <c r="H13" s="242" t="e">
        <f>Summary!H26/Summary!H131</f>
        <v>#DIV/0!</v>
      </c>
      <c r="I13" s="242">
        <f>Summary!I26/Summary!I131</f>
        <v>4.090277497918348E-2</v>
      </c>
      <c r="J13" s="242">
        <f>Summary!J26/Summary!J131</f>
        <v>2.060510154579721E-2</v>
      </c>
      <c r="K13" s="242">
        <f>Summary!K26/Summary!K131</f>
        <v>2.0074023492591103E-2</v>
      </c>
      <c r="L13" s="246">
        <f>Summary!L26/Summary!L131</f>
        <v>2.0603510150721694E-2</v>
      </c>
      <c r="M13" s="246">
        <f>Summary!M26/Summary!M131</f>
        <v>2.0673998220014297E-2</v>
      </c>
      <c r="N13" s="246">
        <f>Summary!N26/Summary!N131</f>
        <v>2.0175053370476984E-2</v>
      </c>
      <c r="O13" s="242">
        <f>Summary!O26/Summary!O131</f>
        <v>1.8163582791764651E-2</v>
      </c>
      <c r="P13" s="241">
        <f>Summary!P26/Summary!P131</f>
        <v>1.7465966144303926E-2</v>
      </c>
      <c r="Q13" s="241">
        <f>Summary!Q26/Summary!Q131</f>
        <v>1.765952444782341E-2</v>
      </c>
      <c r="R13" s="241">
        <f>Summary!R26/Summary!R131</f>
        <v>1.8587794848160616E-2</v>
      </c>
      <c r="S13" s="241">
        <f>Summary!S26/Summary!S131</f>
        <v>1.9160353506503896E-2</v>
      </c>
      <c r="T13" s="241">
        <f>Summary!T26/Summary!T131</f>
        <v>1.966899679614665E-2</v>
      </c>
      <c r="U13" s="241">
        <f>Summary!U26/Summary!U131</f>
        <v>2.0081886238484292E-2</v>
      </c>
      <c r="W13" s="424" t="s">
        <v>397</v>
      </c>
      <c r="X13" s="242" t="e">
        <f>Summary!X26/Summary!X131*4</f>
        <v>#DIV/0!</v>
      </c>
      <c r="Y13" s="242" t="e">
        <f>Summary!Y26/Summary!Y131*4</f>
        <v>#DIV/0!</v>
      </c>
      <c r="Z13" s="242" t="e">
        <f>Summary!Z26/Summary!Z131*4</f>
        <v>#DIV/0!</v>
      </c>
      <c r="AA13" s="242" t="e">
        <f>Summary!AA26/Summary!AA131*4</f>
        <v>#DIV/0!</v>
      </c>
      <c r="AB13" s="242" t="e">
        <f>Summary!AB26/Summary!AB131*4</f>
        <v>#DIV/0!</v>
      </c>
      <c r="AC13" s="242" t="e">
        <f>Summary!AC26/Summary!AC131*4</f>
        <v>#DIV/0!</v>
      </c>
      <c r="AD13" s="242" t="e">
        <f>Summary!AD26/Summary!AD131*4</f>
        <v>#DIV/0!</v>
      </c>
      <c r="AE13" s="242" t="e">
        <f>Summary!AE26/Summary!AE131*4</f>
        <v>#DIV/0!</v>
      </c>
      <c r="AF13" s="242" t="e">
        <f>Summary!AF26/Summary!AF131*4</f>
        <v>#DIV/0!</v>
      </c>
      <c r="AG13" s="242" t="e">
        <f>Summary!AG26/Summary!AG131*4</f>
        <v>#DIV/0!</v>
      </c>
      <c r="AH13" s="242" t="e">
        <f>Summary!AH26/Summary!AH131*4</f>
        <v>#DIV/0!</v>
      </c>
      <c r="AI13" s="242" t="e">
        <f>Summary!AI26/Summary!AI131*4</f>
        <v>#DIV/0!</v>
      </c>
      <c r="AJ13" s="242" t="e">
        <f>Summary!AJ26/Summary!AJ131*4</f>
        <v>#DIV/0!</v>
      </c>
      <c r="AK13" s="242" t="e">
        <f>Summary!AK26/Summary!AK131*4</f>
        <v>#DIV/0!</v>
      </c>
      <c r="AL13" s="242" t="e">
        <f>Summary!AL26/Summary!AL131*4</f>
        <v>#DIV/0!</v>
      </c>
      <c r="AM13" s="242" t="e">
        <f>Summary!AM26/Summary!AM131*4</f>
        <v>#DIV/0!</v>
      </c>
      <c r="AN13" s="242" t="e">
        <f>Summary!AN26/Summary!AN131*4</f>
        <v>#DIV/0!</v>
      </c>
      <c r="AO13" s="242" t="e">
        <f>Summary!AO26/Summary!AO131*4</f>
        <v>#DIV/0!</v>
      </c>
      <c r="AP13" s="242" t="e">
        <f>Summary!AP26/Summary!AP131*4</f>
        <v>#DIV/0!</v>
      </c>
      <c r="AQ13" s="242" t="e">
        <f>Summary!AQ26/Summary!AQ131*4</f>
        <v>#DIV/0!</v>
      </c>
      <c r="AR13" s="242">
        <f>Summary!AR26/Summary!AR131*4</f>
        <v>3.7703415450692973E-2</v>
      </c>
      <c r="AS13" s="242">
        <f>Summary!AS26/Summary!AS131*4</f>
        <v>1.8882341856361114E-2</v>
      </c>
      <c r="AT13" s="242">
        <f>Summary!AT26/Summary!AT131*4</f>
        <v>2.114386748413831E-2</v>
      </c>
      <c r="AU13" s="242">
        <f>Summary!AU26/Summary!AU131*4</f>
        <v>2.3548713180371713E-2</v>
      </c>
      <c r="AV13" s="242">
        <f>Summary!AV26/Summary!AV131*4</f>
        <v>2.1862059258383415E-2</v>
      </c>
      <c r="AW13" s="242">
        <f>Summary!AW26/Summary!AW131*4</f>
        <v>2.1776712694129098E-2</v>
      </c>
      <c r="AX13" s="242">
        <f>Summary!AX26/Summary!AX131*4</f>
        <v>2.1359699657442204E-2</v>
      </c>
      <c r="AY13" s="242">
        <f>Summary!AY26/Summary!AY131*4</f>
        <v>1.9885159499209815E-2</v>
      </c>
      <c r="AZ13" s="242">
        <f>Summary!AZ26/Summary!AZ131*4</f>
        <v>1.9569363427717763E-2</v>
      </c>
      <c r="BA13" s="242">
        <f>Summary!BA26/Summary!BA131*4</f>
        <v>2.0594259791318233E-2</v>
      </c>
      <c r="BB13" s="242">
        <f>Summary!BB26/Summary!BB131*4</f>
        <v>2.0376318693688618E-2</v>
      </c>
      <c r="BC13" s="242">
        <f>Summary!BC26/Summary!BC131*4</f>
        <v>1.9483461410852655E-2</v>
      </c>
      <c r="BD13" s="246">
        <f>Summary!BD26/Summary!BD131*4</f>
        <v>1.9994129868682604E-2</v>
      </c>
      <c r="BE13" s="246">
        <f>Summary!BE26/Summary!BE131*4</f>
        <v>2.0481841414631143E-2</v>
      </c>
      <c r="BF13" s="246">
        <f>Summary!BF26/Summary!BF131*4</f>
        <v>2.1105097599270341E-2</v>
      </c>
      <c r="BG13" s="246">
        <f>Summary!BG26/Summary!BG131*4</f>
        <v>2.0696070397267331E-2</v>
      </c>
      <c r="BH13" s="242">
        <f>Summary!BH26/Summary!BH131*4</f>
        <v>1.8910004747542539E-2</v>
      </c>
      <c r="BI13" s="242">
        <f>Summary!BI26/Summary!BI131*4</f>
        <v>2.0957629055747877E-2</v>
      </c>
      <c r="BJ13" s="242">
        <f>Summary!BJ26/Summary!BJ131*4</f>
        <v>2.0730449741111805E-2</v>
      </c>
      <c r="BK13" s="242">
        <f>Summary!BK26/Summary!BK131*4</f>
        <v>2.1368999281356046E-2</v>
      </c>
      <c r="BL13" s="242">
        <f>Summary!BL26/Summary!BL131*4</f>
        <v>2.0426343887212182E-2</v>
      </c>
      <c r="BM13" s="242">
        <f>Summary!BM26/Summary!BM131*4</f>
        <v>1.9512603460480598E-2</v>
      </c>
      <c r="BN13" s="242">
        <f>Summary!BN26/Summary!BN131*4</f>
        <v>1.893110914348619E-2</v>
      </c>
      <c r="BO13" s="242">
        <f>Summary!BO26/Summary!BO131*4</f>
        <v>2.0450550867779291E-2</v>
      </c>
      <c r="BP13" s="242">
        <f>Summary!BP26/Summary!BP131*4</f>
        <v>1.8634566835284663E-2</v>
      </c>
      <c r="BQ13" s="242">
        <f>Summary!BQ26/Summary!BQ131*4</f>
        <v>1.8675066033902472E-2</v>
      </c>
      <c r="BR13" s="242">
        <f>Summary!BR26/Summary!BR131*4</f>
        <v>1.7570339169402042E-2</v>
      </c>
      <c r="BS13" s="242">
        <f>Summary!BS26/Summary!BS131*4</f>
        <v>1.781923375426488E-2</v>
      </c>
      <c r="BT13" s="241">
        <f>Summary!BT26/Summary!BT131*4</f>
        <v>1.6896647839917414E-2</v>
      </c>
      <c r="BU13" s="241">
        <f>Summary!BU26/Summary!BU131*4</f>
        <v>1.6889816071406993E-2</v>
      </c>
      <c r="BV13" s="241">
        <f>Summary!BV26/Summary!BV131*4</f>
        <v>1.706452046730645E-2</v>
      </c>
      <c r="BW13" s="241">
        <f>Summary!BW26/Summary!BW131*4</f>
        <v>1.7712522036852411E-2</v>
      </c>
      <c r="BX13" s="241">
        <f>Summary!BX26/Summary!BX131*4</f>
        <v>1.7174150222929795E-2</v>
      </c>
      <c r="BY13" s="241">
        <f>Summary!BY26/Summary!BY131*4</f>
        <v>1.7293749328231269E-2</v>
      </c>
      <c r="BZ13" s="241">
        <f>Summary!BZ26/Summary!BZ131*4</f>
        <v>1.7418622481737346E-2</v>
      </c>
      <c r="CA13" s="241">
        <f>Summary!CA26/Summary!CA131*4</f>
        <v>1.8064622045432889E-2</v>
      </c>
      <c r="CB13" s="241">
        <f>Summary!CB26/Summary!CB131*4</f>
        <v>1.823080254106459E-2</v>
      </c>
      <c r="CC13" s="241">
        <f>Summary!CC26/Summary!CC131*4</f>
        <v>1.8375184437925993E-2</v>
      </c>
      <c r="CD13" s="241">
        <f>Summary!CD26/Summary!CD131*4</f>
        <v>1.8523762162822109E-2</v>
      </c>
      <c r="CE13" s="241">
        <f>Summary!CE26/Summary!CE131*4</f>
        <v>1.8677170497068487E-2</v>
      </c>
      <c r="CF13" s="241">
        <f>Summary!CF26/Summary!CF131*4</f>
        <v>1.8845931131033156E-2</v>
      </c>
      <c r="CG13" s="241">
        <f>Summary!CG26/Summary!CG131*4</f>
        <v>1.8983627815350138E-2</v>
      </c>
      <c r="CH13" s="241">
        <f>Summary!CH26/Summary!CH131*4</f>
        <v>1.9128077242318336E-2</v>
      </c>
      <c r="CI13" s="241">
        <f>Summary!CI26/Summary!CI131*4</f>
        <v>1.9273083699799784E-2</v>
      </c>
      <c r="CJ13" s="241">
        <f>Summary!CJ26/Summary!CJ131*4</f>
        <v>1.9435109548643987E-2</v>
      </c>
      <c r="CK13" s="241">
        <f>Summary!CK26/Summary!CK131*4</f>
        <v>1.9559878804086436E-2</v>
      </c>
      <c r="CL13" s="241">
        <f>Summary!CL26/Summary!CL131*4</f>
        <v>1.9697742554704467E-2</v>
      </c>
      <c r="CM13" s="241">
        <f>Summary!CM26/Summary!CM131*4</f>
        <v>1.9806410629429887E-2</v>
      </c>
      <c r="CN13" s="241">
        <f>Summary!CN26/Summary!CN131*4</f>
        <v>1.9945247976748456E-2</v>
      </c>
      <c r="CO13" s="241">
        <f>Summary!CO26/Summary!CO131*4</f>
        <v>2.0043774287996165E-2</v>
      </c>
      <c r="CP13" s="241">
        <f>Summary!CP26/Summary!CP131*4</f>
        <v>2.01559853330147E-2</v>
      </c>
      <c r="CQ13" s="241">
        <f>Summary!CQ26/Summary!CQ131*4</f>
        <v>2.0241537234860375E-2</v>
      </c>
    </row>
    <row r="14" spans="1:95" s="424" customFormat="1" ht="10.199999999999999">
      <c r="A14" s="424" t="s">
        <v>326</v>
      </c>
      <c r="B14" s="242"/>
      <c r="C14" s="242" t="e">
        <f>Summary!C27/Summary!C131</f>
        <v>#DIV/0!</v>
      </c>
      <c r="D14" s="242" t="e">
        <f>Summary!D27/Summary!D131</f>
        <v>#DIV/0!</v>
      </c>
      <c r="E14" s="242" t="e">
        <f>Summary!E27/Summary!E131</f>
        <v>#DIV/0!</v>
      </c>
      <c r="F14" s="242" t="e">
        <f>Summary!F27/Summary!F131</f>
        <v>#DIV/0!</v>
      </c>
      <c r="G14" s="242" t="e">
        <f>Summary!G27/Summary!G131</f>
        <v>#DIV/0!</v>
      </c>
      <c r="H14" s="242" t="e">
        <f>Summary!H27/Summary!H131</f>
        <v>#DIV/0!</v>
      </c>
      <c r="I14" s="242">
        <f>Summary!I27/Summary!I131</f>
        <v>1.290857684595887E-2</v>
      </c>
      <c r="J14" s="242">
        <f>Summary!J27/Summary!J131</f>
        <v>6.4656436728487109E-3</v>
      </c>
      <c r="K14" s="242">
        <f>Summary!K27/Summary!K131</f>
        <v>3.9142817914822195E-3</v>
      </c>
      <c r="L14" s="246">
        <f>Summary!L27/Summary!L131</f>
        <v>3.9801372139577004E-3</v>
      </c>
      <c r="M14" s="246">
        <f>Summary!M27/Summary!M131</f>
        <v>3.4982054925948645E-3</v>
      </c>
      <c r="N14" s="246">
        <f>Summary!N27/Summary!N131</f>
        <v>3.383261320279855E-3</v>
      </c>
      <c r="O14" s="242">
        <f>Summary!O27/Summary!O131</f>
        <v>3.27137818071412E-3</v>
      </c>
      <c r="P14" s="241">
        <f>Summary!P27/Summary!P131</f>
        <v>3.6188577206602655E-3</v>
      </c>
      <c r="Q14" s="241">
        <f>Summary!Q27/Summary!Q131</f>
        <v>3.9489208828224513E-3</v>
      </c>
      <c r="R14" s="241">
        <f>Summary!R27/Summary!R131</f>
        <v>4.3312450843243774E-3</v>
      </c>
      <c r="S14" s="241">
        <f>Summary!S27/Summary!S131</f>
        <v>4.7391432389770156E-3</v>
      </c>
      <c r="T14" s="241">
        <f>Summary!T27/Summary!T131</f>
        <v>5.1519260406044732E-3</v>
      </c>
      <c r="U14" s="241">
        <f>Summary!U27/Summary!U131</f>
        <v>5.5597092852875145E-3</v>
      </c>
      <c r="W14" s="424" t="s">
        <v>396</v>
      </c>
      <c r="X14" s="242" t="e">
        <f>Summary!X27/Summary!X131*4</f>
        <v>#DIV/0!</v>
      </c>
      <c r="Y14" s="242" t="e">
        <f>Summary!Y27/Summary!Y131*4</f>
        <v>#DIV/0!</v>
      </c>
      <c r="Z14" s="242" t="e">
        <f>Summary!Z27/Summary!Z131*4</f>
        <v>#DIV/0!</v>
      </c>
      <c r="AA14" s="242" t="e">
        <f>Summary!AA27/Summary!AA131*4</f>
        <v>#DIV/0!</v>
      </c>
      <c r="AB14" s="242" t="e">
        <f>Summary!AB27/Summary!AB131*4</f>
        <v>#DIV/0!</v>
      </c>
      <c r="AC14" s="242" t="e">
        <f>Summary!AC27/Summary!AC131*4</f>
        <v>#DIV/0!</v>
      </c>
      <c r="AD14" s="242" t="e">
        <f>Summary!AD27/Summary!AD131*4</f>
        <v>#DIV/0!</v>
      </c>
      <c r="AE14" s="242" t="e">
        <f>Summary!AE27/Summary!AE131*4</f>
        <v>#DIV/0!</v>
      </c>
      <c r="AF14" s="242" t="e">
        <f>Summary!AF27/Summary!AF131*4</f>
        <v>#DIV/0!</v>
      </c>
      <c r="AG14" s="242" t="e">
        <f>Summary!AG27/Summary!AG131*4</f>
        <v>#DIV/0!</v>
      </c>
      <c r="AH14" s="242" t="e">
        <f>Summary!AH27/Summary!AH131*4</f>
        <v>#DIV/0!</v>
      </c>
      <c r="AI14" s="242" t="e">
        <f>Summary!AI27/Summary!AI131*4</f>
        <v>#DIV/0!</v>
      </c>
      <c r="AJ14" s="242" t="e">
        <f>Summary!AJ27/Summary!AJ131*4</f>
        <v>#DIV/0!</v>
      </c>
      <c r="AK14" s="242" t="e">
        <f>Summary!AK27/Summary!AK131*4</f>
        <v>#DIV/0!</v>
      </c>
      <c r="AL14" s="242" t="e">
        <f>Summary!AL27/Summary!AL131*4</f>
        <v>#DIV/0!</v>
      </c>
      <c r="AM14" s="242" t="e">
        <f>Summary!AM27/Summary!AM131*4</f>
        <v>#DIV/0!</v>
      </c>
      <c r="AN14" s="242" t="e">
        <f>Summary!AN27/Summary!AN131*4</f>
        <v>#DIV/0!</v>
      </c>
      <c r="AO14" s="242" t="e">
        <f>Summary!AO27/Summary!AO131*4</f>
        <v>#DIV/0!</v>
      </c>
      <c r="AP14" s="242" t="e">
        <f>Summary!AP27/Summary!AP131*4</f>
        <v>#DIV/0!</v>
      </c>
      <c r="AQ14" s="242" t="e">
        <f>Summary!AQ27/Summary!AQ131*4</f>
        <v>#DIV/0!</v>
      </c>
      <c r="AR14" s="242">
        <f>Summary!AR27/Summary!AR131*4</f>
        <v>1.0931436741192511E-2</v>
      </c>
      <c r="AS14" s="242">
        <f>Summary!AS27/Summary!AS131*4</f>
        <v>5.3149711105348963E-3</v>
      </c>
      <c r="AT14" s="242">
        <f>Summary!AT27/Summary!AT131*4</f>
        <v>6.8968521910454522E-3</v>
      </c>
      <c r="AU14" s="242">
        <f>Summary!AU27/Summary!AU131*4</f>
        <v>8.4030655808350133E-3</v>
      </c>
      <c r="AV14" s="242">
        <f>Summary!AV27/Summary!AV131*4</f>
        <v>5.6611979212917848E-3</v>
      </c>
      <c r="AW14" s="242">
        <f>Summary!AW27/Summary!AW131*4</f>
        <v>7.7140550487454478E-3</v>
      </c>
      <c r="AX14" s="242">
        <f>Summary!AX27/Summary!AX131*4</f>
        <v>7.0121731429530244E-3</v>
      </c>
      <c r="AY14" s="242">
        <f>Summary!AY27/Summary!AY131*4</f>
        <v>6.2060846606159341E-3</v>
      </c>
      <c r="AZ14" s="242">
        <f>Summary!AZ27/Summary!AZ131*4</f>
        <v>4.1413039707519526E-3</v>
      </c>
      <c r="BA14" s="242">
        <f>Summary!BA27/Summary!BA131*4</f>
        <v>4.3399741500728785E-3</v>
      </c>
      <c r="BB14" s="242">
        <f>Summary!BB27/Summary!BB131*4</f>
        <v>4.0480465919940731E-3</v>
      </c>
      <c r="BC14" s="242">
        <f>Summary!BC27/Summary!BC131*4</f>
        <v>3.085676102518801E-3</v>
      </c>
      <c r="BD14" s="246">
        <f>Summary!BD27/Summary!BD131*4</f>
        <v>9.7101148234718035E-4</v>
      </c>
      <c r="BE14" s="246">
        <f>Summary!BE27/Summary!BE131*4</f>
        <v>4.3363553122186902E-3</v>
      </c>
      <c r="BF14" s="246">
        <f>Summary!BF27/Summary!BF131*4</f>
        <v>5.0935082230755763E-3</v>
      </c>
      <c r="BG14" s="246">
        <f>Summary!BG27/Summary!BG131*4</f>
        <v>5.1783593697181975E-3</v>
      </c>
      <c r="BH14" s="242">
        <f>Summary!BH27/Summary!BH131*4</f>
        <v>3.4346373739788006E-3</v>
      </c>
      <c r="BI14" s="242">
        <f>Summary!BI27/Summary!BI131*4</f>
        <v>2.9858414859245588E-3</v>
      </c>
      <c r="BJ14" s="242">
        <f>Summary!BJ27/Summary!BJ131*4</f>
        <v>3.8190767089889368E-3</v>
      </c>
      <c r="BK14" s="242">
        <f>Summary!BK27/Summary!BK131*4</f>
        <v>3.6333460114107369E-3</v>
      </c>
      <c r="BL14" s="242">
        <f>Summary!BL27/Summary!BL131*4</f>
        <v>3.2563503344742928E-3</v>
      </c>
      <c r="BM14" s="242">
        <f>Summary!BM27/Summary!BM131*4</f>
        <v>3.3179564296562298E-3</v>
      </c>
      <c r="BN14" s="242">
        <f>Summary!BN27/Summary!BN131*4</f>
        <v>3.6224807001911724E-3</v>
      </c>
      <c r="BO14" s="242">
        <f>Summary!BO27/Summary!BO131*4</f>
        <v>3.1030477810926058E-3</v>
      </c>
      <c r="BP14" s="242">
        <f>Summary!BP27/Summary!BP131*4</f>
        <v>2.7867005151477244E-3</v>
      </c>
      <c r="BQ14" s="242">
        <f>Summary!BQ27/Summary!BQ131*4</f>
        <v>3.3888518002673299E-3</v>
      </c>
      <c r="BR14" s="242">
        <f>Summary!BR27/Summary!BR131*4</f>
        <v>3.3845186894266464E-3</v>
      </c>
      <c r="BS14" s="242">
        <f>Summary!BS27/Summary!BS131*4</f>
        <v>3.4849940664865527E-3</v>
      </c>
      <c r="BT14" s="241">
        <f>Summary!BT27/Summary!BT131*4</f>
        <v>3.3998220248114548E-3</v>
      </c>
      <c r="BU14" s="241">
        <f>Summary!BU27/Summary!BU131*4</f>
        <v>3.5728586030324087E-3</v>
      </c>
      <c r="BV14" s="241">
        <f>Summary!BV27/Summary!BV131*4</f>
        <v>3.579406586155652E-3</v>
      </c>
      <c r="BW14" s="241">
        <f>Summary!BW27/Summary!BW131*4</f>
        <v>3.6508657100203222E-3</v>
      </c>
      <c r="BX14" s="241">
        <f>Summary!BX27/Summary!BX131*4</f>
        <v>3.7344359085822727E-3</v>
      </c>
      <c r="BY14" s="241">
        <f>Summary!BY27/Summary!BY131*4</f>
        <v>3.948447717903562E-3</v>
      </c>
      <c r="BZ14" s="241">
        <f>Summary!BZ27/Summary!BZ131*4</f>
        <v>3.9423207327069013E-3</v>
      </c>
      <c r="CA14" s="241">
        <f>Summary!CA27/Summary!CA131*4</f>
        <v>4.014555965584767E-3</v>
      </c>
      <c r="CB14" s="241">
        <f>Summary!CB27/Summary!CB131*4</f>
        <v>4.1051783789033958E-3</v>
      </c>
      <c r="CC14" s="241">
        <f>Summary!CC27/Summary!CC131*4</f>
        <v>4.3390613557416314E-3</v>
      </c>
      <c r="CD14" s="241">
        <f>Summary!CD27/Summary!CD131*4</f>
        <v>4.3343856942875351E-3</v>
      </c>
      <c r="CE14" s="241">
        <f>Summary!CE27/Summary!CE131*4</f>
        <v>4.4133955715634342E-3</v>
      </c>
      <c r="CF14" s="241">
        <f>Summary!CF27/Summary!CF131*4</f>
        <v>4.5094334969366162E-3</v>
      </c>
      <c r="CG14" s="241">
        <f>Summary!CG27/Summary!CG131*4</f>
        <v>4.7585238838412291E-3</v>
      </c>
      <c r="CH14" s="241">
        <f>Summary!CH27/Summary!CH131*4</f>
        <v>4.7498625596986178E-3</v>
      </c>
      <c r="CI14" s="241">
        <f>Summary!CI27/Summary!CI131*4</f>
        <v>4.8305516921765736E-3</v>
      </c>
      <c r="CJ14" s="241">
        <f>Summary!CJ27/Summary!CJ131*4</f>
        <v>4.9296997980371121E-3</v>
      </c>
      <c r="CK14" s="241">
        <f>Summary!CK27/Summary!CK131*4</f>
        <v>5.1925083206572058E-3</v>
      </c>
      <c r="CL14" s="241">
        <f>Summary!CL27/Summary!CL131*4</f>
        <v>5.1785766247502514E-3</v>
      </c>
      <c r="CM14" s="241">
        <f>Summary!CM27/Summary!CM131*4</f>
        <v>5.2533561849683677E-3</v>
      </c>
      <c r="CN14" s="241">
        <f>Summary!CN27/Summary!CN131*4</f>
        <v>5.3514439741406848E-3</v>
      </c>
      <c r="CO14" s="241">
        <f>Summary!CO27/Summary!CO131*4</f>
        <v>5.6242321736270492E-3</v>
      </c>
      <c r="CP14" s="241">
        <f>Summary!CP27/Summary!CP131*4</f>
        <v>5.5999440406488202E-3</v>
      </c>
      <c r="CQ14" s="241">
        <f>Summary!CQ27/Summary!CQ131*4</f>
        <v>5.6715096937185331E-3</v>
      </c>
    </row>
    <row r="15" spans="1:95" s="424" customFormat="1" ht="10.199999999999999">
      <c r="A15" s="424" t="s">
        <v>395</v>
      </c>
      <c r="B15" s="242"/>
      <c r="C15" s="242" t="e">
        <f>(Summary!C28+Summary!C41)/Summary!C131</f>
        <v>#DIV/0!</v>
      </c>
      <c r="D15" s="242" t="e">
        <f>(Summary!D28+Summary!D41)/Summary!D131</f>
        <v>#DIV/0!</v>
      </c>
      <c r="E15" s="242" t="e">
        <f>(Summary!E28+Summary!E41)/Summary!E131</f>
        <v>#DIV/0!</v>
      </c>
      <c r="F15" s="242" t="e">
        <f>(Summary!F28+Summary!F41)/Summary!F131</f>
        <v>#DIV/0!</v>
      </c>
      <c r="G15" s="242" t="e">
        <f>(Summary!G28+Summary!G41)/Summary!G131</f>
        <v>#DIV/0!</v>
      </c>
      <c r="H15" s="242" t="e">
        <f>(Summary!H28+Summary!H41)/Summary!H131</f>
        <v>#DIV/0!</v>
      </c>
      <c r="I15" s="242">
        <f>(Summary!I28+Summary!I41)/Summary!I131</f>
        <v>-3.8540134207933029E-2</v>
      </c>
      <c r="J15" s="242">
        <f>(Summary!J28+Summary!J41)/Summary!J131</f>
        <v>-1.9411229880061037E-2</v>
      </c>
      <c r="K15" s="242">
        <f>(Summary!K28+Summary!K41)/Summary!K131</f>
        <v>-1.9441517852178358E-2</v>
      </c>
      <c r="L15" s="246">
        <f>(Summary!L28+Summary!L41)/Summary!L131</f>
        <v>-2.1199947160076636E-2</v>
      </c>
      <c r="M15" s="246">
        <f>(Summary!M28+Summary!M41)/Summary!M131</f>
        <v>-2.0185553489405358E-2</v>
      </c>
      <c r="N15" s="246">
        <f>(Summary!N28+Summary!N41)/Summary!N131</f>
        <v>-2.1273419875115638E-2</v>
      </c>
      <c r="O15" s="242">
        <f>(Summary!O28+Summary!O41)/Summary!O131</f>
        <v>-1.9771849886099969E-2</v>
      </c>
      <c r="P15" s="241">
        <f>(Summary!P28+Summary!P41)/Summary!P131</f>
        <v>-1.8985893963665883E-2</v>
      </c>
      <c r="Q15" s="241">
        <f>(Summary!Q28+Summary!Q41)/Summary!Q131</f>
        <v>-1.8321160232989558E-2</v>
      </c>
      <c r="R15" s="241">
        <f>(Summary!R28+Summary!R41)/Summary!R131</f>
        <v>-1.7718529652650472E-2</v>
      </c>
      <c r="S15" s="241">
        <f>(Summary!S28+Summary!S41)/Summary!S131</f>
        <v>-1.7255926460222233E-2</v>
      </c>
      <c r="T15" s="241">
        <f>(Summary!T28+Summary!T41)/Summary!T131</f>
        <v>-1.6736010048328268E-2</v>
      </c>
      <c r="U15" s="241">
        <f>(Summary!U28+Summary!U41)/Summary!U131</f>
        <v>-1.6143926642044004E-2</v>
      </c>
      <c r="W15" s="424" t="s">
        <v>395</v>
      </c>
      <c r="X15" s="242" t="e">
        <f>(Summary!X28+Summary!X41)/Summary!X131*4</f>
        <v>#DIV/0!</v>
      </c>
      <c r="Y15" s="242" t="e">
        <f>(Summary!Y28+Summary!Y41)/Summary!Y131*4</f>
        <v>#DIV/0!</v>
      </c>
      <c r="Z15" s="242" t="e">
        <f>(Summary!Z28+Summary!Z41)/Summary!Z131*4</f>
        <v>#DIV/0!</v>
      </c>
      <c r="AA15" s="242" t="e">
        <f>(Summary!AA28+Summary!AA41)/Summary!AA131*4</f>
        <v>#DIV/0!</v>
      </c>
      <c r="AB15" s="242" t="e">
        <f>(Summary!AB28+Summary!AB41)/Summary!AB131*4</f>
        <v>#DIV/0!</v>
      </c>
      <c r="AC15" s="242" t="e">
        <f>(Summary!AC28+Summary!AC41)/Summary!AC131*4</f>
        <v>#DIV/0!</v>
      </c>
      <c r="AD15" s="242" t="e">
        <f>(Summary!AD28+Summary!AD41)/Summary!AD131*4</f>
        <v>#DIV/0!</v>
      </c>
      <c r="AE15" s="242" t="e">
        <f>(Summary!AE28+Summary!AE41)/Summary!AE131*4</f>
        <v>#DIV/0!</v>
      </c>
      <c r="AF15" s="242" t="e">
        <f>(Summary!AF28+Summary!AF41)/Summary!AF131*4</f>
        <v>#DIV/0!</v>
      </c>
      <c r="AG15" s="242" t="e">
        <f>(Summary!AG28+Summary!AG41)/Summary!AG131*4</f>
        <v>#DIV/0!</v>
      </c>
      <c r="AH15" s="242" t="e">
        <f>(Summary!AH28+Summary!AH41)/Summary!AH131*4</f>
        <v>#DIV/0!</v>
      </c>
      <c r="AI15" s="242" t="e">
        <f>(Summary!AI28+Summary!AI41)/Summary!AI131*4</f>
        <v>#DIV/0!</v>
      </c>
      <c r="AJ15" s="242" t="e">
        <f>(Summary!AJ28+Summary!AJ41)/Summary!AJ131*4</f>
        <v>#DIV/0!</v>
      </c>
      <c r="AK15" s="242" t="e">
        <f>(Summary!AK28+Summary!AK41)/Summary!AK131*4</f>
        <v>#DIV/0!</v>
      </c>
      <c r="AL15" s="242" t="e">
        <f>(Summary!AL28+Summary!AL41)/Summary!AL131*4</f>
        <v>#DIV/0!</v>
      </c>
      <c r="AM15" s="242" t="e">
        <f>(Summary!AM28+Summary!AM41)/Summary!AM131*4</f>
        <v>#DIV/0!</v>
      </c>
      <c r="AN15" s="242" t="e">
        <f>(Summary!AN28+Summary!AN41)/Summary!AN131*4</f>
        <v>#DIV/0!</v>
      </c>
      <c r="AO15" s="242" t="e">
        <f>(Summary!AO28+Summary!AO41)/Summary!AO131*4</f>
        <v>#DIV/0!</v>
      </c>
      <c r="AP15" s="242" t="e">
        <f>(Summary!AP28+Summary!AP41)/Summary!AP131*4</f>
        <v>#DIV/0!</v>
      </c>
      <c r="AQ15" s="242" t="e">
        <f>(Summary!AQ28+Summary!AQ41)/Summary!AQ131*4</f>
        <v>#DIV/0!</v>
      </c>
      <c r="AR15" s="242">
        <f>(Summary!AR28+Summary!AR41)/Summary!AR131*4</f>
        <v>-3.7871207254677394E-2</v>
      </c>
      <c r="AS15" s="242">
        <f>(Summary!AS28+Summary!AS41)/Summary!AS131*4</f>
        <v>-1.8627818982947134E-2</v>
      </c>
      <c r="AT15" s="242">
        <f>(Summary!AT28+Summary!AT41)/Summary!AT131*4</f>
        <v>-1.9430297261281922E-2</v>
      </c>
      <c r="AU15" s="242">
        <f>(Summary!AU28+Summary!AU41)/Summary!AU131*4</f>
        <v>-2.0541491598986335E-2</v>
      </c>
      <c r="AV15" s="242">
        <f>(Summary!AV28+Summary!AV41)/Summary!AV131*4</f>
        <v>-2.1032062995390201E-2</v>
      </c>
      <c r="AW15" s="242">
        <f>(Summary!AW28+Summary!AW41)/Summary!AW131*4</f>
        <v>-1.9952618474487888E-2</v>
      </c>
      <c r="AX15" s="242">
        <f>(Summary!AX28+Summary!AX41)/Summary!AX131*4</f>
        <v>-1.9533536281542349E-2</v>
      </c>
      <c r="AY15" s="242">
        <f>(Summary!AY28+Summary!AY41)/Summary!AY131*4</f>
        <v>-1.939230561999282E-2</v>
      </c>
      <c r="AZ15" s="242">
        <f>(Summary!AZ28+Summary!AZ41)/Summary!AZ131*4</f>
        <v>-1.8593108074025918E-2</v>
      </c>
      <c r="BA15" s="242">
        <f>(Summary!BA28+Summary!BA41)/Summary!BA131*4</f>
        <v>-1.9051353784762491E-2</v>
      </c>
      <c r="BB15" s="242">
        <f>(Summary!BB28+Summary!BB41)/Summary!BB131*4</f>
        <v>-1.9794715490690673E-2</v>
      </c>
      <c r="BC15" s="242">
        <f>(Summary!BC28+Summary!BC41)/Summary!BC131*4</f>
        <v>-2.0046339872702414E-2</v>
      </c>
      <c r="BD15" s="246">
        <f>(Summary!BD28+Summary!BD41)/Summary!BD131*4</f>
        <v>-2.0317707072795673E-2</v>
      </c>
      <c r="BE15" s="246">
        <f>(Summary!BE28+Summary!BE41)/Summary!BE131*4</f>
        <v>-2.0333701213411725E-2</v>
      </c>
      <c r="BF15" s="246">
        <f>(Summary!BF28+Summary!BF41)/Summary!BF131*4</f>
        <v>-2.1358635817211494E-2</v>
      </c>
      <c r="BG15" s="246">
        <f>(Summary!BG28+Summary!BG41)/Summary!BG131*4</f>
        <v>-2.2527347650865025E-2</v>
      </c>
      <c r="BH15" s="242">
        <f>(Summary!BH28+Summary!BH41)/Summary!BH131*4</f>
        <v>-2.0272084793112131E-2</v>
      </c>
      <c r="BI15" s="242">
        <f>(Summary!BI28+Summary!BI41)/Summary!BI131*4</f>
        <v>-2.0839533776011249E-2</v>
      </c>
      <c r="BJ15" s="242">
        <f>(Summary!BJ28+Summary!BJ41)/Summary!BJ131*4</f>
        <v>-2.0402618259295475E-2</v>
      </c>
      <c r="BK15" s="242">
        <f>(Summary!BK28+Summary!BK41)/Summary!BK131*4</f>
        <v>-1.861881322767384E-2</v>
      </c>
      <c r="BL15" s="242">
        <f>(Summary!BL28+Summary!BL41)/Summary!BL131*4</f>
        <v>-2.0363532808497099E-2</v>
      </c>
      <c r="BM15" s="242">
        <f>(Summary!BM28+Summary!BM41)/Summary!BM131*4</f>
        <v>-2.226558515589008E-2</v>
      </c>
      <c r="BN15" s="242">
        <f>(Summary!BN28+Summary!BN41)/Summary!BN131*4</f>
        <v>-2.070983160293928E-2</v>
      </c>
      <c r="BO15" s="242">
        <f>(Summary!BO28+Summary!BO41)/Summary!BO131*4</f>
        <v>-2.0300609861173168E-2</v>
      </c>
      <c r="BP15" s="242">
        <f>(Summary!BP28+Summary!BP41)/Summary!BP131*4</f>
        <v>-2.0706634475808842E-2</v>
      </c>
      <c r="BQ15" s="242">
        <f>(Summary!BQ28+Summary!BQ41)/Summary!BQ131*4</f>
        <v>-2.0224023721849969E-2</v>
      </c>
      <c r="BR15" s="242">
        <f>(Summary!BR28+Summary!BR41)/Summary!BR131*4</f>
        <v>-1.902391624077622E-2</v>
      </c>
      <c r="BS15" s="242">
        <f>(Summary!BS28+Summary!BS41)/Summary!BS131*4</f>
        <v>-1.9213314361848047E-2</v>
      </c>
      <c r="BT15" s="241">
        <f>(Summary!BT28+Summary!BT41)/Summary!BT131*4</f>
        <v>-1.9127664386072763E-2</v>
      </c>
      <c r="BU15" s="241">
        <f>(Summary!BU28+Summary!BU41)/Summary!BU131*4</f>
        <v>-1.8669458344608758E-2</v>
      </c>
      <c r="BV15" s="241">
        <f>(Summary!BV28+Summary!BV41)/Summary!BV131*4</f>
        <v>-1.8352316119117616E-2</v>
      </c>
      <c r="BW15" s="241">
        <f>(Summary!BW28+Summary!BW41)/Summary!BW131*4</f>
        <v>-1.8440336392548006E-2</v>
      </c>
      <c r="BX15" s="241">
        <f>(Summary!BX28+Summary!BX41)/Summary!BX131*4</f>
        <v>-1.8497635017216185E-2</v>
      </c>
      <c r="BY15" s="241">
        <f>(Summary!BY28+Summary!BY41)/Summary!BY131*4</f>
        <v>-1.8237454705836563E-2</v>
      </c>
      <c r="BZ15" s="241">
        <f>(Summary!BZ28+Summary!BZ41)/Summary!BZ131*4</f>
        <v>-1.799894028799889E-2</v>
      </c>
      <c r="CA15" s="241">
        <f>(Summary!CA28+Summary!CA41)/Summary!CA131*4</f>
        <v>-1.7893115810205827E-2</v>
      </c>
      <c r="CB15" s="241">
        <f>(Summary!CB28+Summary!CB41)/Summary!CB131*4</f>
        <v>-1.7804290602773061E-2</v>
      </c>
      <c r="CC15" s="241">
        <f>(Summary!CC28+Summary!CC41)/Summary!CC131*4</f>
        <v>-1.7636725163455793E-2</v>
      </c>
      <c r="CD15" s="241">
        <f>(Summary!CD28+Summary!CD41)/Summary!CD131*4</f>
        <v>-1.7507614035200229E-2</v>
      </c>
      <c r="CE15" s="241">
        <f>(Summary!CE28+Summary!CE41)/Summary!CE131*4</f>
        <v>-1.7435195130151616E-2</v>
      </c>
      <c r="CF15" s="241">
        <f>(Summary!CF28+Summary!CF41)/Summary!CF131*4</f>
        <v>-1.7388873230070406E-2</v>
      </c>
      <c r="CG15" s="241">
        <f>(Summary!CG28+Summary!CG41)/Summary!CG131*4</f>
        <v>-1.7214737535749657E-2</v>
      </c>
      <c r="CH15" s="241">
        <f>(Summary!CH28+Summary!CH41)/Summary!CH131*4</f>
        <v>-1.7080636053948568E-2</v>
      </c>
      <c r="CI15" s="241">
        <f>(Summary!CI28+Summary!CI41)/Summary!CI131*4</f>
        <v>-1.699815914508146E-2</v>
      </c>
      <c r="CJ15" s="241">
        <f>(Summary!CJ28+Summary!CJ41)/Summary!CJ131*4</f>
        <v>-1.6942433479071203E-2</v>
      </c>
      <c r="CK15" s="241">
        <f>(Summary!CK28+Summary!CK41)/Summary!CK131*4</f>
        <v>-1.6758004743678747E-2</v>
      </c>
      <c r="CL15" s="241">
        <f>(Summary!CL28+Summary!CL41)/Summary!CL131*4</f>
        <v>-1.6618205831200217E-2</v>
      </c>
      <c r="CM15" s="241">
        <f>(Summary!CM28+Summary!CM41)/Summary!CM131*4</f>
        <v>-1.6504083673348574E-2</v>
      </c>
      <c r="CN15" s="241">
        <f>(Summary!CN28+Summary!CN41)/Summary!CN131*4</f>
        <v>-1.6427186622712895E-2</v>
      </c>
      <c r="CO15" s="241">
        <f>(Summary!CO28+Summary!CO41)/Summary!CO131*4</f>
        <v>-1.6224473321178459E-2</v>
      </c>
      <c r="CP15" s="241">
        <f>(Summary!CP28+Summary!CP41)/Summary!CP131*4</f>
        <v>-1.6065959396133717E-2</v>
      </c>
      <c r="CQ15" s="241">
        <f>(Summary!CQ28+Summary!CQ41)/Summary!CQ131*4</f>
        <v>-1.5935440916559539E-2</v>
      </c>
    </row>
    <row r="16" spans="1:95" s="424" customFormat="1" ht="10.199999999999999">
      <c r="A16" s="424" t="s">
        <v>394</v>
      </c>
      <c r="B16" s="242"/>
      <c r="C16" s="242" t="e">
        <f>(Summary!C29)/Summary!C131</f>
        <v>#DIV/0!</v>
      </c>
      <c r="D16" s="242" t="e">
        <f>(Summary!D29)/Summary!D131</f>
        <v>#DIV/0!</v>
      </c>
      <c r="E16" s="242" t="e">
        <f>(Summary!E29)/Summary!E131</f>
        <v>#DIV/0!</v>
      </c>
      <c r="F16" s="242" t="e">
        <f>(Summary!F29)/Summary!F131</f>
        <v>#DIV/0!</v>
      </c>
      <c r="G16" s="242" t="e">
        <f>(Summary!G29)/Summary!G131</f>
        <v>#DIV/0!</v>
      </c>
      <c r="H16" s="242" t="e">
        <f>(Summary!H29)/Summary!H131</f>
        <v>#DIV/0!</v>
      </c>
      <c r="I16" s="242">
        <f>(Summary!I29)/Summary!I131</f>
        <v>-3.6444033138121161E-2</v>
      </c>
      <c r="J16" s="242">
        <f>(Summary!J29)/Summary!J131</f>
        <v>-1.6752831442722511E-2</v>
      </c>
      <c r="K16" s="242">
        <f>(Summary!K29)/Summary!K131</f>
        <v>-1.6682610540150414E-2</v>
      </c>
      <c r="L16" s="246">
        <f>(Summary!L29)/Summary!L131</f>
        <v>-1.8176954730865894E-2</v>
      </c>
      <c r="M16" s="246">
        <f>(Summary!M29)/Summary!M131</f>
        <v>-1.9122811622868736E-2</v>
      </c>
      <c r="N16" s="246">
        <f>(Summary!N29)/Summary!N131</f>
        <v>-1.8914547543735151E-2</v>
      </c>
      <c r="O16" s="242">
        <f>(Summary!O29)/Summary!O131</f>
        <v>-1.6923328226204095E-2</v>
      </c>
      <c r="P16" s="241">
        <f>(Summary!P29)/Summary!P131</f>
        <v>-1.69944218766073E-2</v>
      </c>
      <c r="Q16" s="241">
        <f>(Summary!Q29)/Summary!Q131</f>
        <v>-1.6277365159263275E-2</v>
      </c>
      <c r="R16" s="241">
        <f>(Summary!R29)/Summary!R131</f>
        <v>-1.610095562176192E-2</v>
      </c>
      <c r="S16" s="241">
        <f>(Summary!S29)/Summary!S131</f>
        <v>-1.5978383431709681E-2</v>
      </c>
      <c r="T16" s="241">
        <f>(Summary!T29)/Summary!T131</f>
        <v>-1.5808941232936892E-2</v>
      </c>
      <c r="U16" s="241">
        <f>(Summary!U29)/Summary!U131</f>
        <v>-1.5573497097308417E-2</v>
      </c>
      <c r="W16" s="424" t="s">
        <v>394</v>
      </c>
      <c r="X16" s="242" t="e">
        <f>(Summary!X29)/Summary!X131*4</f>
        <v>#DIV/0!</v>
      </c>
      <c r="Y16" s="242" t="e">
        <f>(Summary!Y29)/Summary!Y131*4</f>
        <v>#DIV/0!</v>
      </c>
      <c r="Z16" s="242" t="e">
        <f>(Summary!Z29)/Summary!Z131*4</f>
        <v>#DIV/0!</v>
      </c>
      <c r="AA16" s="242" t="e">
        <f>(Summary!AA29)/Summary!AA131*4</f>
        <v>#DIV/0!</v>
      </c>
      <c r="AB16" s="242" t="e">
        <f>(Summary!AB29)/Summary!AB131*4</f>
        <v>#DIV/0!</v>
      </c>
      <c r="AC16" s="242" t="e">
        <f>(Summary!AC29)/Summary!AC131*4</f>
        <v>#DIV/0!</v>
      </c>
      <c r="AD16" s="242" t="e">
        <f>(Summary!AD29)/Summary!AD131*4</f>
        <v>#DIV/0!</v>
      </c>
      <c r="AE16" s="242" t="e">
        <f>(Summary!AE29)/Summary!AE131*4</f>
        <v>#DIV/0!</v>
      </c>
      <c r="AF16" s="242" t="e">
        <f>(Summary!AF29)/Summary!AF131*4</f>
        <v>#DIV/0!</v>
      </c>
      <c r="AG16" s="242" t="e">
        <f>(Summary!AG29)/Summary!AG131*4</f>
        <v>#DIV/0!</v>
      </c>
      <c r="AH16" s="242" t="e">
        <f>(Summary!AH29)/Summary!AH131*4</f>
        <v>#DIV/0!</v>
      </c>
      <c r="AI16" s="242" t="e">
        <f>(Summary!AI29)/Summary!AI131*4</f>
        <v>#DIV/0!</v>
      </c>
      <c r="AJ16" s="242" t="e">
        <f>(Summary!AJ29)/Summary!AJ131*4</f>
        <v>#DIV/0!</v>
      </c>
      <c r="AK16" s="242" t="e">
        <f>(Summary!AK29)/Summary!AK131*4</f>
        <v>#DIV/0!</v>
      </c>
      <c r="AL16" s="242" t="e">
        <f>(Summary!AL29)/Summary!AL131*4</f>
        <v>#DIV/0!</v>
      </c>
      <c r="AM16" s="242" t="e">
        <f>(Summary!AM29)/Summary!AM131*4</f>
        <v>#DIV/0!</v>
      </c>
      <c r="AN16" s="242" t="e">
        <f>(Summary!AN29)/Summary!AN131*4</f>
        <v>#DIV/0!</v>
      </c>
      <c r="AO16" s="242" t="e">
        <f>(Summary!AO29)/Summary!AO131*4</f>
        <v>#DIV/0!</v>
      </c>
      <c r="AP16" s="242" t="e">
        <f>(Summary!AP29)/Summary!AP131*4</f>
        <v>#DIV/0!</v>
      </c>
      <c r="AQ16" s="242" t="e">
        <f>(Summary!AQ29)/Summary!AQ131*4</f>
        <v>#DIV/0!</v>
      </c>
      <c r="AR16" s="242">
        <f>(Summary!AR29)/Summary!AR131*4</f>
        <v>-3.5312721296944363E-2</v>
      </c>
      <c r="AS16" s="242">
        <f>(Summary!AS29)/Summary!AS131*4</f>
        <v>-1.6970948806021832E-2</v>
      </c>
      <c r="AT16" s="242">
        <f>(Summary!AT29)/Summary!AT131*4</f>
        <v>-1.7630934967209824E-2</v>
      </c>
      <c r="AU16" s="242">
        <f>(Summary!AU29)/Summary!AU131*4</f>
        <v>-2.1101287587677941E-2</v>
      </c>
      <c r="AV16" s="242">
        <f>(Summary!AV29)/Summary!AV131*4</f>
        <v>-1.7167396521816494E-2</v>
      </c>
      <c r="AW16" s="242">
        <f>(Summary!AW29)/Summary!AW131*4</f>
        <v>-1.7173177390426442E-2</v>
      </c>
      <c r="AX16" s="242">
        <f>(Summary!AX29)/Summary!AX131*4</f>
        <v>-1.6310362352141707E-2</v>
      </c>
      <c r="AY16" s="242">
        <f>(Summary!AY29)/Summary!AY131*4</f>
        <v>-1.8115752370767197E-2</v>
      </c>
      <c r="AZ16" s="242">
        <f>(Summary!AZ29)/Summary!AZ131*4</f>
        <v>-1.5409905118482311E-2</v>
      </c>
      <c r="BA16" s="242">
        <f>(Summary!BA29)/Summary!BA131*4</f>
        <v>-1.6059955787624647E-2</v>
      </c>
      <c r="BB16" s="242">
        <f>(Summary!BB29)/Summary!BB131*4</f>
        <v>-1.6629889545295897E-2</v>
      </c>
      <c r="BC16" s="242">
        <f>(Summary!BC29)/Summary!BC131*4</f>
        <v>-1.8371697264951393E-2</v>
      </c>
      <c r="BD16" s="246">
        <f>(Summary!BD29)/Summary!BD131*4</f>
        <v>-1.6324538909989351E-2</v>
      </c>
      <c r="BE16" s="246">
        <f>(Summary!BE29)/Summary!BE131*4</f>
        <v>-1.747380753096827E-2</v>
      </c>
      <c r="BF16" s="246">
        <f>(Summary!BF29)/Summary!BF131*4</f>
        <v>-1.8190502992239743E-2</v>
      </c>
      <c r="BG16" s="246">
        <f>(Summary!BG29)/Summary!BG131*4</f>
        <v>-2.0337235396228507E-2</v>
      </c>
      <c r="BH16" s="242">
        <f>(Summary!BH29)/Summary!BH131*4</f>
        <v>-1.7127711145673359E-2</v>
      </c>
      <c r="BI16" s="242">
        <f>(Summary!BI29)/Summary!BI131*4</f>
        <v>-1.8616172828069412E-2</v>
      </c>
      <c r="BJ16" s="242">
        <f>(Summary!BJ29)/Summary!BJ131*4</f>
        <v>-1.8593695098059557E-2</v>
      </c>
      <c r="BK16" s="242">
        <f>(Summary!BK29)/Summary!BK131*4</f>
        <v>-2.1433283900662219E-2</v>
      </c>
      <c r="BL16" s="242">
        <f>(Summary!BL29)/Summary!BL131*4</f>
        <v>-1.6306433441690363E-2</v>
      </c>
      <c r="BM16" s="242">
        <f>(Summary!BM29)/Summary!BM131*4</f>
        <v>-1.8770303679971706E-2</v>
      </c>
      <c r="BN16" s="242">
        <f>(Summary!BN29)/Summary!BN131*4</f>
        <v>-1.8250019460502559E-2</v>
      </c>
      <c r="BO16" s="242">
        <f>(Summary!BO29)/Summary!BO131*4</f>
        <v>-2.0770305659180519E-2</v>
      </c>
      <c r="BP16" s="242">
        <f>(Summary!BP29)/Summary!BP131*4</f>
        <v>-1.5621574113028497E-2</v>
      </c>
      <c r="BQ16" s="242">
        <f>(Summary!BQ29)/Summary!BQ131*4</f>
        <v>-1.6689253169056752E-2</v>
      </c>
      <c r="BR16" s="242">
        <f>(Summary!BR29)/Summary!BR131*4</f>
        <v>-1.6433581908118784E-2</v>
      </c>
      <c r="BS16" s="242">
        <f>(Summary!BS29)/Summary!BS131*4</f>
        <v>-1.8755440825983169E-2</v>
      </c>
      <c r="BT16" s="241">
        <f>(Summary!BT29)/Summary!BT131*4</f>
        <v>-1.6462974809956621E-2</v>
      </c>
      <c r="BU16" s="241">
        <f>(Summary!BU29)/Summary!BU131*4</f>
        <v>-1.6522344787791087E-2</v>
      </c>
      <c r="BV16" s="241">
        <f>(Summary!BV29)/Summary!BV131*4</f>
        <v>-1.6518539537175803E-2</v>
      </c>
      <c r="BW16" s="241">
        <f>(Summary!BW29)/Summary!BW131*4</f>
        <v>-1.7211824705665631E-2</v>
      </c>
      <c r="BX16" s="241">
        <f>(Summary!BX29)/Summary!BX131*4</f>
        <v>-1.5669131300222749E-2</v>
      </c>
      <c r="BY16" s="241">
        <f>(Summary!BY29)/Summary!BY131*4</f>
        <v>-1.5936207707504944E-2</v>
      </c>
      <c r="BZ16" s="241">
        <f>(Summary!BZ29)/Summary!BZ131*4</f>
        <v>-1.6012899241867103E-2</v>
      </c>
      <c r="CA16" s="241">
        <f>(Summary!CA29)/Summary!CA131*4</f>
        <v>-1.6846544982505655E-2</v>
      </c>
      <c r="CB16" s="241">
        <f>(Summary!CB29)/Summary!CB131*4</f>
        <v>-1.5456222403452492E-2</v>
      </c>
      <c r="CC16" s="241">
        <f>(Summary!CC29)/Summary!CC131*4</f>
        <v>-1.5773643750435998E-2</v>
      </c>
      <c r="CD16" s="241">
        <f>(Summary!CD29)/Summary!CD131*4</f>
        <v>-1.5898635378027378E-2</v>
      </c>
      <c r="CE16" s="241">
        <f>(Summary!CE29)/Summary!CE131*4</f>
        <v>-1.6773828121035967E-2</v>
      </c>
      <c r="CF16" s="241">
        <f>(Summary!CF29)/Summary!CF131*4</f>
        <v>-1.5363582507440189E-2</v>
      </c>
      <c r="CG16" s="241">
        <f>(Summary!CG29)/Summary!CG131*4</f>
        <v>-1.5681654955554947E-2</v>
      </c>
      <c r="CH16" s="241">
        <f>(Summary!CH29)/Summary!CH131*4</f>
        <v>-1.5806111451642017E-2</v>
      </c>
      <c r="CI16" s="241">
        <f>(Summary!CI29)/Summary!CI131*4</f>
        <v>-1.6687497125999106E-2</v>
      </c>
      <c r="CJ16" s="241">
        <f>(Summary!CJ29)/Summary!CJ131*4</f>
        <v>-1.5252544408453094E-2</v>
      </c>
      <c r="CK16" s="241">
        <f>(Summary!CK29)/Summary!CK131*4</f>
        <v>-1.5566229961479446E-2</v>
      </c>
      <c r="CL16" s="241">
        <f>(Summary!CL29)/Summary!CL131*4</f>
        <v>-1.5688397262023146E-2</v>
      </c>
      <c r="CM16" s="241">
        <f>(Summary!CM29)/Summary!CM131*4</f>
        <v>-1.6551161100380154E-2</v>
      </c>
      <c r="CN16" s="241">
        <f>(Summary!CN29)/Summary!CN131*4</f>
        <v>-1.5085613435495164E-2</v>
      </c>
      <c r="CO16" s="241">
        <f>(Summary!CO29)/Summary!CO131*4</f>
        <v>-1.5384307054478366E-2</v>
      </c>
      <c r="CP16" s="241">
        <f>(Summary!CP29)/Summary!CP131*4</f>
        <v>-1.5489733517640601E-2</v>
      </c>
      <c r="CQ16" s="241">
        <f>(Summary!CQ29)/Summary!CQ131*4</f>
        <v>-1.6341661178615026E-2</v>
      </c>
    </row>
    <row r="17" spans="1:95" s="424" customFormat="1" ht="10.199999999999999">
      <c r="A17" s="424" t="s">
        <v>393</v>
      </c>
      <c r="B17" s="242"/>
      <c r="C17" s="242" t="e">
        <f>(Summary!C30+Summary!C31)/Summary!C131</f>
        <v>#DIV/0!</v>
      </c>
      <c r="D17" s="242" t="e">
        <f>(Summary!D30+Summary!D31)/Summary!D131</f>
        <v>#DIV/0!</v>
      </c>
      <c r="E17" s="242" t="e">
        <f>(Summary!E30+Summary!E31)/Summary!E131</f>
        <v>#DIV/0!</v>
      </c>
      <c r="F17" s="242" t="e">
        <f>(Summary!F30+Summary!F31)/Summary!F131</f>
        <v>#DIV/0!</v>
      </c>
      <c r="G17" s="242" t="e">
        <f>(Summary!G30+Summary!G31)/Summary!G131</f>
        <v>#DIV/0!</v>
      </c>
      <c r="H17" s="242" t="e">
        <f>(Summary!H30+Summary!H31)/Summary!H131</f>
        <v>#DIV/0!</v>
      </c>
      <c r="I17" s="242">
        <f>(Summary!I30+Summary!I31)/Summary!I131</f>
        <v>1.8724681870884413E-2</v>
      </c>
      <c r="J17" s="242">
        <f>(Summary!J30+Summary!J31)/Summary!J131</f>
        <v>7.3665883664497762E-3</v>
      </c>
      <c r="K17" s="242">
        <f>(Summary!K30+Summary!K31)/Summary!K131</f>
        <v>6.3816252300340675E-3</v>
      </c>
      <c r="L17" s="246">
        <f>(Summary!L30+Summary!L31)/Summary!L131</f>
        <v>8.0972200473392805E-3</v>
      </c>
      <c r="M17" s="246">
        <f>(Summary!M30+Summary!M31)/Summary!M131</f>
        <v>5.6324714677747512E-3</v>
      </c>
      <c r="N17" s="246">
        <f>(Summary!N30+Summary!N31)/Summary!N131</f>
        <v>6.6458321677098286E-3</v>
      </c>
      <c r="O17" s="242">
        <f>(Summary!O30+Summary!O31)/Summary!O131</f>
        <v>5.1513644511996968E-3</v>
      </c>
      <c r="P17" s="241">
        <f>(Summary!P30+Summary!P31)/Summary!P131</f>
        <v>6.7331940602445017E-3</v>
      </c>
      <c r="Q17" s="241">
        <f>(Summary!Q30+Summary!Q31)/Summary!Q131</f>
        <v>6.4547429387981289E-3</v>
      </c>
      <c r="R17" s="241">
        <f>(Summary!R30+Summary!R31)/Summary!R131</f>
        <v>6.1045375522238597E-3</v>
      </c>
      <c r="S17" s="241">
        <f>(Summary!S30+Summary!S31)/Summary!S131</f>
        <v>5.77581788051168E-3</v>
      </c>
      <c r="T17" s="241">
        <f>(Summary!T30+Summary!T31)/Summary!T131</f>
        <v>5.4422505294599594E-3</v>
      </c>
      <c r="U17" s="241">
        <f>(Summary!U30+Summary!U31)/Summary!U131</f>
        <v>5.1002144931021915E-3</v>
      </c>
      <c r="W17" s="424" t="s">
        <v>392</v>
      </c>
      <c r="X17" s="242" t="e">
        <f>(Summary!X30+Summary!X31)/Summary!X131*4</f>
        <v>#DIV/0!</v>
      </c>
      <c r="Y17" s="242" t="e">
        <f>(Summary!Y30+Summary!Y31)/Summary!Y131*4</f>
        <v>#DIV/0!</v>
      </c>
      <c r="Z17" s="242" t="e">
        <f>(Summary!Z30+Summary!Z31)/Summary!Z131*4</f>
        <v>#DIV/0!</v>
      </c>
      <c r="AA17" s="242" t="e">
        <f>(Summary!AA30+Summary!AA31)/Summary!AA131*4</f>
        <v>#DIV/0!</v>
      </c>
      <c r="AB17" s="242" t="e">
        <f>(Summary!AB30+Summary!AB31)/Summary!AB131*4</f>
        <v>#DIV/0!</v>
      </c>
      <c r="AC17" s="242" t="e">
        <f>(Summary!AC30+Summary!AC31)/Summary!AC131*4</f>
        <v>#DIV/0!</v>
      </c>
      <c r="AD17" s="242" t="e">
        <f>(Summary!AD30+Summary!AD31)/Summary!AD131*4</f>
        <v>#DIV/0!</v>
      </c>
      <c r="AE17" s="242" t="e">
        <f>(Summary!AE30+Summary!AE31)/Summary!AE131*4</f>
        <v>#DIV/0!</v>
      </c>
      <c r="AF17" s="242" t="e">
        <f>(Summary!AF30+Summary!AF31)/Summary!AF131*4</f>
        <v>#DIV/0!</v>
      </c>
      <c r="AG17" s="242" t="e">
        <f>(Summary!AG30+Summary!AG31)/Summary!AG131*4</f>
        <v>#DIV/0!</v>
      </c>
      <c r="AH17" s="242" t="e">
        <f>(Summary!AH30+Summary!AH31)/Summary!AH131*4</f>
        <v>#DIV/0!</v>
      </c>
      <c r="AI17" s="242" t="e">
        <f>(Summary!AI30+Summary!AI31)/Summary!AI131*4</f>
        <v>#DIV/0!</v>
      </c>
      <c r="AJ17" s="242" t="e">
        <f>(Summary!AJ30+Summary!AJ31)/Summary!AJ131*4</f>
        <v>#DIV/0!</v>
      </c>
      <c r="AK17" s="242" t="e">
        <f>(Summary!AK30+Summary!AK31)/Summary!AK131*4</f>
        <v>#DIV/0!</v>
      </c>
      <c r="AL17" s="242" t="e">
        <f>(Summary!AL30+Summary!AL31)/Summary!AL131*4</f>
        <v>#DIV/0!</v>
      </c>
      <c r="AM17" s="242" t="e">
        <f>(Summary!AM30+Summary!AM31)/Summary!AM131*4</f>
        <v>#DIV/0!</v>
      </c>
      <c r="AN17" s="242" t="e">
        <f>(Summary!AN30+Summary!AN31)/Summary!AN131*4</f>
        <v>#DIV/0!</v>
      </c>
      <c r="AO17" s="242" t="e">
        <f>(Summary!AO30+Summary!AO31)/Summary!AO131*4</f>
        <v>#DIV/0!</v>
      </c>
      <c r="AP17" s="242" t="e">
        <f>(Summary!AP30+Summary!AP31)/Summary!AP131*4</f>
        <v>#DIV/0!</v>
      </c>
      <c r="AQ17" s="242" t="e">
        <f>(Summary!AQ30+Summary!AQ31)/Summary!AQ131*4</f>
        <v>#DIV/0!</v>
      </c>
      <c r="AR17" s="242">
        <f>(Summary!AR30+Summary!AR31)/Summary!AR131*4</f>
        <v>2.5212221454148788E-2</v>
      </c>
      <c r="AS17" s="242">
        <f>(Summary!AS30+Summary!AS31)/Summary!AS131*4</f>
        <v>1.0671541831855685E-2</v>
      </c>
      <c r="AT17" s="242">
        <f>(Summary!AT30+Summary!AT31)/Summary!AT131*4</f>
        <v>7.6580282234813193E-3</v>
      </c>
      <c r="AU17" s="242">
        <f>(Summary!AU30+Summary!AU31)/Summary!AU131*4</f>
        <v>6.3897747494966184E-3</v>
      </c>
      <c r="AV17" s="242">
        <f>(Summary!AV30+Summary!AV31)/Summary!AV131*4</f>
        <v>5.6567540589258442E-3</v>
      </c>
      <c r="AW17" s="242">
        <f>(Summary!AW30+Summary!AW31)/Summary!AW131*4</f>
        <v>1.0420693894418293E-2</v>
      </c>
      <c r="AX17" s="242">
        <f>(Summary!AX30+Summary!AX31)/Summary!AX131*4</f>
        <v>8.5727574780780254E-3</v>
      </c>
      <c r="AY17" s="242">
        <f>(Summary!AY30+Summary!AY31)/Summary!AY131*4</f>
        <v>5.7882377757325493E-3</v>
      </c>
      <c r="AZ17" s="242">
        <f>(Summary!AZ30+Summary!AZ31)/Summary!AZ131*4</f>
        <v>6.8577886727127363E-3</v>
      </c>
      <c r="BA17" s="242">
        <f>(Summary!BA30+Summary!BA31)/Summary!BA131*4</f>
        <v>5.6565528592005584E-3</v>
      </c>
      <c r="BB17" s="242">
        <f>(Summary!BB30+Summary!BB31)/Summary!BB131*4</f>
        <v>6.474755407095252E-3</v>
      </c>
      <c r="BC17" s="242">
        <f>(Summary!BC30+Summary!BC31)/Summary!BC131*4</f>
        <v>6.4541146135523577E-3</v>
      </c>
      <c r="BD17" s="246">
        <f>(Summary!BD30+Summary!BD31)/Summary!BD131*4</f>
        <v>8.4714010649175261E-3</v>
      </c>
      <c r="BE17" s="246">
        <f>(Summary!BE30+Summary!BE31)/Summary!BE131*4</f>
        <v>6.9148692435757877E-3</v>
      </c>
      <c r="BF17" s="246">
        <f>(Summary!BF30+Summary!BF31)/Summary!BF131*4</f>
        <v>8.3879716127971404E-3</v>
      </c>
      <c r="BG17" s="246">
        <f>(Summary!BG30+Summary!BG31)/Summary!BG131*4</f>
        <v>8.5509167130683669E-3</v>
      </c>
      <c r="BH17" s="242">
        <f>(Summary!BH30+Summary!BH31)/Summary!BH131*4</f>
        <v>6.8700535619469535E-3</v>
      </c>
      <c r="BI17" s="242">
        <f>(Summary!BI30+Summary!BI31)/Summary!BI131*4</f>
        <v>4.0381906168998867E-3</v>
      </c>
      <c r="BJ17" s="242">
        <f>(Summary!BJ30+Summary!BJ31)/Summary!BJ131*4</f>
        <v>5.8992275372267812E-3</v>
      </c>
      <c r="BK17" s="242">
        <f>(Summary!BK30+Summary!BK31)/Summary!BK131*4</f>
        <v>5.5740971350919247E-3</v>
      </c>
      <c r="BL17" s="242">
        <f>(Summary!BL30+Summary!BL31)/Summary!BL131*4</f>
        <v>5.8554479557949074E-3</v>
      </c>
      <c r="BM17" s="242">
        <f>(Summary!BM30+Summary!BM31)/Summary!BM131*4</f>
        <v>6.2731721323799478E-3</v>
      </c>
      <c r="BN17" s="242">
        <f>(Summary!BN30+Summary!BN31)/Summary!BN131*4</f>
        <v>7.3808529263343645E-3</v>
      </c>
      <c r="BO17" s="242">
        <f>(Summary!BO30+Summary!BO31)/Summary!BO131*4</f>
        <v>6.5488860664421498E-3</v>
      </c>
      <c r="BP17" s="242">
        <f>(Summary!BP30+Summary!BP31)/Summary!BP131*4</f>
        <v>6.5239093669600002E-3</v>
      </c>
      <c r="BQ17" s="242">
        <f>(Summary!BQ30+Summary!BQ31)/Summary!BQ131*4</f>
        <v>5.3227962085031144E-3</v>
      </c>
      <c r="BR17" s="242">
        <f>(Summary!BR30+Summary!BR31)/Summary!BR131*4</f>
        <v>3.9240080350044929E-3</v>
      </c>
      <c r="BS17" s="242">
        <f>(Summary!BS30+Summary!BS31)/Summary!BS131*4</f>
        <v>4.9360463090187571E-3</v>
      </c>
      <c r="BT17" s="241">
        <f>(Summary!BT30+Summary!BT31)/Summary!BT131*4</f>
        <v>6.3378841969948885E-3</v>
      </c>
      <c r="BU17" s="241">
        <f>(Summary!BU30+Summary!BU31)/Summary!BU131*4</f>
        <v>6.7737254735185026E-3</v>
      </c>
      <c r="BV17" s="241">
        <f>(Summary!BV30+Summary!BV31)/Summary!BV131*4</f>
        <v>6.7023766150096859E-3</v>
      </c>
      <c r="BW17" s="241">
        <f>(Summary!BW30+Summary!BW31)/Summary!BW131*4</f>
        <v>6.6185128310511029E-3</v>
      </c>
      <c r="BX17" s="241">
        <f>(Summary!BX30+Summary!BX31)/Summary!BX131*4</f>
        <v>6.5366949761891209E-3</v>
      </c>
      <c r="BY17" s="241">
        <f>(Summary!BY30+Summary!BY31)/Summary!BY131*4</f>
        <v>6.4415234097591131E-3</v>
      </c>
      <c r="BZ17" s="241">
        <f>(Summary!BZ30+Summary!BZ31)/Summary!BZ131*4</f>
        <v>6.3489752206120952E-3</v>
      </c>
      <c r="CA17" s="241">
        <f>(Summary!CA30+Summary!CA31)/Summary!CA131*4</f>
        <v>6.262285585506947E-3</v>
      </c>
      <c r="CB17" s="241">
        <f>(Summary!CB30+Summary!CB31)/Summary!CB131*4</f>
        <v>6.1859403223025163E-3</v>
      </c>
      <c r="CC17" s="241">
        <f>(Summary!CC30+Summary!CC31)/Summary!CC131*4</f>
        <v>6.1027794383163251E-3</v>
      </c>
      <c r="CD17" s="241">
        <f>(Summary!CD30+Summary!CD31)/Summary!CD131*4</f>
        <v>6.0217299048925654E-3</v>
      </c>
      <c r="CE17" s="241">
        <f>(Summary!CE30+Summary!CE31)/Summary!CE131*4</f>
        <v>5.9429126543857971E-3</v>
      </c>
      <c r="CF17" s="241">
        <f>(Summary!CF30+Summary!CF31)/Summary!CF131*4</f>
        <v>5.8695138469485658E-3</v>
      </c>
      <c r="CG17" s="241">
        <f>(Summary!CG30+Summary!CG31)/Summary!CG131*4</f>
        <v>5.787088046767655E-3</v>
      </c>
      <c r="CH17" s="241">
        <f>(Summary!CH30+Summary!CH31)/Summary!CH131*4</f>
        <v>5.7075355221308643E-3</v>
      </c>
      <c r="CI17" s="241">
        <f>(Summary!CI30+Summary!CI31)/Summary!CI131*4</f>
        <v>5.6289192729832866E-3</v>
      </c>
      <c r="CJ17" s="241">
        <f>(Summary!CJ30+Summary!CJ31)/Summary!CJ131*4</f>
        <v>5.5559380142256943E-3</v>
      </c>
      <c r="CK17" s="241">
        <f>(Summary!CK30+Summary!CK31)/Summary!CK131*4</f>
        <v>5.4730979916515514E-3</v>
      </c>
      <c r="CL17" s="241">
        <f>(Summary!CL30+Summary!CL31)/Summary!CL131*4</f>
        <v>5.3948610862630461E-3</v>
      </c>
      <c r="CM17" s="241">
        <f>(Summary!CM30+Summary!CM31)/Summary!CM131*4</f>
        <v>5.3096563339471272E-3</v>
      </c>
      <c r="CN17" s="241">
        <f>(Summary!CN30+Summary!CN31)/Summary!CN131*4</f>
        <v>5.2335572301676686E-3</v>
      </c>
      <c r="CO17" s="241">
        <f>(Summary!CO30+Summary!CO31)/Summary!CO131*4</f>
        <v>5.1479464894813769E-3</v>
      </c>
      <c r="CP17" s="241">
        <f>(Summary!CP30+Summary!CP31)/Summary!CP131*4</f>
        <v>5.0670549770360273E-3</v>
      </c>
      <c r="CQ17" s="241">
        <f>(Summary!CQ30+Summary!CQ31)/Summary!CQ131*4</f>
        <v>4.9807210109420455E-3</v>
      </c>
    </row>
    <row r="18" spans="1:95" s="424" customFormat="1" ht="10.199999999999999">
      <c r="A18" s="424" t="s">
        <v>391</v>
      </c>
      <c r="B18" s="242"/>
      <c r="C18" s="242" t="e">
        <f>Summary!C32/Summary!C131</f>
        <v>#DIV/0!</v>
      </c>
      <c r="D18" s="242" t="e">
        <f>Summary!D32/Summary!D131</f>
        <v>#DIV/0!</v>
      </c>
      <c r="E18" s="242" t="e">
        <f>Summary!E32/Summary!E131</f>
        <v>#DIV/0!</v>
      </c>
      <c r="F18" s="242" t="e">
        <f>Summary!F32/Summary!F131</f>
        <v>#DIV/0!</v>
      </c>
      <c r="G18" s="242" t="e">
        <f>Summary!G32/Summary!G131</f>
        <v>#DIV/0!</v>
      </c>
      <c r="H18" s="242" t="e">
        <f>Summary!H32/Summary!H131</f>
        <v>#DIV/0!</v>
      </c>
      <c r="I18" s="242">
        <f>Summary!I32/Summary!I131</f>
        <v>-7.6731388177644234E-3</v>
      </c>
      <c r="J18" s="242">
        <f>Summary!J32/Summary!J131</f>
        <v>-2.848573881431133E-3</v>
      </c>
      <c r="K18" s="242">
        <f>Summary!K32/Summary!K131</f>
        <v>-6.8508061481012384E-4</v>
      </c>
      <c r="L18" s="246">
        <f>Summary!L32/Summary!L131</f>
        <v>-2.0061360554944374E-4</v>
      </c>
      <c r="M18" s="246">
        <f>Summary!M32/Summary!M131</f>
        <v>-5.8463169904626223E-4</v>
      </c>
      <c r="N18" s="246">
        <f>Summary!N32/Summary!N131</f>
        <v>-5.135705226433859E-4</v>
      </c>
      <c r="O18" s="242">
        <f>Summary!O32/Summary!O131</f>
        <v>1.2804945587207165E-3</v>
      </c>
      <c r="P18" s="241">
        <f>Summary!P32/Summary!P131</f>
        <v>1.084662213421073E-3</v>
      </c>
      <c r="Q18" s="241">
        <f>Summary!Q32/Summary!Q131</f>
        <v>1.0268861701214313E-3</v>
      </c>
      <c r="R18" s="241">
        <f>Summary!R32/Summary!R131</f>
        <v>9.7767981265254873E-4</v>
      </c>
      <c r="S18" s="241">
        <f>Summary!S32/Summary!S131</f>
        <v>9.3076182441900279E-4</v>
      </c>
      <c r="T18" s="241">
        <f>Summary!T32/Summary!T131</f>
        <v>8.7944177233500336E-4</v>
      </c>
      <c r="U18" s="241">
        <f>Summary!U32/Summary!U131</f>
        <v>8.2143784144779095E-4</v>
      </c>
      <c r="W18" s="424" t="s">
        <v>391</v>
      </c>
      <c r="X18" s="242" t="e">
        <f>Summary!X32/Summary!X131*4</f>
        <v>#DIV/0!</v>
      </c>
      <c r="Y18" s="242" t="e">
        <f>Summary!Y32/Summary!Y131*4</f>
        <v>#DIV/0!</v>
      </c>
      <c r="Z18" s="242" t="e">
        <f>Summary!Z32/Summary!Z131*4</f>
        <v>#DIV/0!</v>
      </c>
      <c r="AA18" s="242" t="e">
        <f>Summary!AA32/Summary!AA131*4</f>
        <v>#DIV/0!</v>
      </c>
      <c r="AB18" s="242" t="e">
        <f>Summary!AB32/Summary!AB131*4</f>
        <v>#DIV/0!</v>
      </c>
      <c r="AC18" s="242" t="e">
        <f>Summary!AC32/Summary!AC131*4</f>
        <v>#DIV/0!</v>
      </c>
      <c r="AD18" s="242" t="e">
        <f>Summary!AD32/Summary!AD131*4</f>
        <v>#DIV/0!</v>
      </c>
      <c r="AE18" s="242" t="e">
        <f>Summary!AE32/Summary!AE131*4</f>
        <v>#DIV/0!</v>
      </c>
      <c r="AF18" s="242" t="e">
        <f>Summary!AF32/Summary!AF131*4</f>
        <v>#DIV/0!</v>
      </c>
      <c r="AG18" s="242" t="e">
        <f>Summary!AG32/Summary!AG131*4</f>
        <v>#DIV/0!</v>
      </c>
      <c r="AH18" s="242" t="e">
        <f>Summary!AH32/Summary!AH131*4</f>
        <v>#DIV/0!</v>
      </c>
      <c r="AI18" s="242" t="e">
        <f>Summary!AI32/Summary!AI131*4</f>
        <v>#DIV/0!</v>
      </c>
      <c r="AJ18" s="242" t="e">
        <f>Summary!AJ32/Summary!AJ131*4</f>
        <v>#DIV/0!</v>
      </c>
      <c r="AK18" s="242" t="e">
        <f>Summary!AK32/Summary!AK131*4</f>
        <v>#DIV/0!</v>
      </c>
      <c r="AL18" s="242" t="e">
        <f>Summary!AL32/Summary!AL131*4</f>
        <v>#DIV/0!</v>
      </c>
      <c r="AM18" s="242" t="e">
        <f>Summary!AM32/Summary!AM131*4</f>
        <v>#DIV/0!</v>
      </c>
      <c r="AN18" s="242" t="e">
        <f>Summary!AN32/Summary!AN131*4</f>
        <v>#DIV/0!</v>
      </c>
      <c r="AO18" s="242" t="e">
        <f>Summary!AO32/Summary!AO131*4</f>
        <v>#DIV/0!</v>
      </c>
      <c r="AP18" s="242" t="e">
        <f>Summary!AP32/Summary!AP131*4</f>
        <v>#DIV/0!</v>
      </c>
      <c r="AQ18" s="242" t="e">
        <f>Summary!AQ32/Summary!AQ131*4</f>
        <v>#DIV/0!</v>
      </c>
      <c r="AR18" s="242">
        <f>Summary!AR32/Summary!AR131*4</f>
        <v>-9.6241527517449341E-3</v>
      </c>
      <c r="AS18" s="242">
        <f>Summary!AS32/Summary!AS131*4</f>
        <v>-1.686630763178951E-3</v>
      </c>
      <c r="AT18" s="242">
        <f>Summary!AT32/Summary!AT131*4</f>
        <v>-4.2939341486515851E-3</v>
      </c>
      <c r="AU18" s="242">
        <f>Summary!AU32/Summary!AU131*4</f>
        <v>-4.6611537840887691E-3</v>
      </c>
      <c r="AV18" s="242">
        <f>Summary!AV32/Summary!AV131*4</f>
        <v>-2.455084521089757E-3</v>
      </c>
      <c r="AW18" s="242">
        <f>Summary!AW32/Summary!AW131*4</f>
        <v>-3.0864421302243894E-3</v>
      </c>
      <c r="AX18" s="242">
        <f>Summary!AX32/Summary!AX131*4</f>
        <v>-3.1738037840207231E-3</v>
      </c>
      <c r="AY18" s="242">
        <f>Summary!AY32/Summary!AY131*4</f>
        <v>-2.9614416345738999E-3</v>
      </c>
      <c r="AZ18" s="242">
        <f>Summary!AZ32/Summary!AZ131*4</f>
        <v>-7.195914787674828E-4</v>
      </c>
      <c r="BA18" s="242">
        <f>Summary!BA32/Summary!BA131*4</f>
        <v>-1.1338008335952695E-3</v>
      </c>
      <c r="BB18" s="242">
        <f>Summary!BB32/Summary!BB131*4</f>
        <v>-8.4154942729376854E-4</v>
      </c>
      <c r="BC18" s="242">
        <f>Summary!BC32/Summary!BC131*4</f>
        <v>-4.3428323783789126E-5</v>
      </c>
      <c r="BD18" s="246">
        <f>Summary!BD32/Summary!BD131*4</f>
        <v>-5.1460373657764283E-4</v>
      </c>
      <c r="BE18" s="246">
        <f>Summary!BE32/Summary!BE131*4</f>
        <v>7.9685547411601312E-4</v>
      </c>
      <c r="BF18" s="246">
        <f>Summary!BF32/Summary!BF131*4</f>
        <v>-4.1422908276692017E-4</v>
      </c>
      <c r="BG18" s="246">
        <f>Summary!BG32/Summary!BG131*4</f>
        <v>-6.3676967469472134E-4</v>
      </c>
      <c r="BH18" s="242">
        <f>Summary!BH32/Summary!BH131*4</f>
        <v>5.48981024314983E-4</v>
      </c>
      <c r="BI18" s="242">
        <f>Summary!BI32/Summary!BI131*4</f>
        <v>-5.7314700609495959E-4</v>
      </c>
      <c r="BJ18" s="242">
        <f>Summary!BJ32/Summary!BJ131*4</f>
        <v>6.6087777380757252E-4</v>
      </c>
      <c r="BK18" s="242">
        <f>Summary!BK32/Summary!BK131*4</f>
        <v>-2.8794407695915195E-3</v>
      </c>
      <c r="BL18" s="242">
        <f>Summary!BL32/Summary!BL131*4</f>
        <v>3.1995755580382923E-4</v>
      </c>
      <c r="BM18" s="242">
        <f>Summary!BM32/Summary!BM131*4</f>
        <v>1.5567782128643843E-3</v>
      </c>
      <c r="BN18" s="242">
        <f>Summary!BN32/Summary!BN131*4</f>
        <v>-8.8478840135494446E-4</v>
      </c>
      <c r="BO18" s="242">
        <f>Summary!BO32/Summary!BO131*4</f>
        <v>-2.8011963934652384E-3</v>
      </c>
      <c r="BP18" s="242">
        <f>Summary!BP32/Summary!BP131*4</f>
        <v>4.2662566384669021E-3</v>
      </c>
      <c r="BQ18" s="242">
        <f>Summary!BQ32/Summary!BQ131*4</f>
        <v>-5.0080374636682335E-4</v>
      </c>
      <c r="BR18" s="242">
        <f>Summary!BR32/Summary!BR131*4</f>
        <v>3.5389561864131392E-4</v>
      </c>
      <c r="BS18" s="242">
        <f>Summary!BS32/Summary!BS131*4</f>
        <v>1.1343760449911769E-3</v>
      </c>
      <c r="BT18" s="241">
        <f>Summary!BT32/Summary!BT131*4</f>
        <v>1.0888404291889563E-3</v>
      </c>
      <c r="BU18" s="241">
        <f>Summary!BU32/Summary!BU131*4</f>
        <v>1.0650761534829534E-3</v>
      </c>
      <c r="BV18" s="241">
        <f>Summary!BV32/Summary!BV131*4</f>
        <v>1.0587398789446119E-3</v>
      </c>
      <c r="BW18" s="241">
        <f>Summary!BW32/Summary!BW131*4</f>
        <v>1.048537934029003E-3</v>
      </c>
      <c r="BX18" s="241">
        <f>Summary!BX32/Summary!BX131*4</f>
        <v>1.0387134220951756E-3</v>
      </c>
      <c r="BY18" s="241">
        <f>Summary!BY32/Summary!BY131*4</f>
        <v>1.0241454486349091E-3</v>
      </c>
      <c r="BZ18" s="241">
        <f>Summary!BZ32/Summary!BZ131*4</f>
        <v>1.0101370113737452E-3</v>
      </c>
      <c r="CA18" s="241">
        <f>Summary!CA32/Summary!CA131*4</f>
        <v>9.9793461930324542E-4</v>
      </c>
      <c r="CB18" s="241">
        <f>Summary!CB32/Summary!CB131*4</f>
        <v>9.8827939050959417E-4</v>
      </c>
      <c r="CC18" s="241">
        <f>Summary!CC32/Summary!CC131*4</f>
        <v>9.7654050509392786E-4</v>
      </c>
      <c r="CD18" s="241">
        <f>Summary!CD32/Summary!CD131*4</f>
        <v>9.6515854241673005E-4</v>
      </c>
      <c r="CE18" s="241">
        <f>Summary!CE32/Summary!CE131*4</f>
        <v>9.5417644358500916E-4</v>
      </c>
      <c r="CF18" s="241">
        <f>Summary!CF32/Summary!CF131*4</f>
        <v>9.4450106749634883E-4</v>
      </c>
      <c r="CG18" s="241">
        <f>Summary!CG32/Summary!CG131*4</f>
        <v>9.3206684234217513E-4</v>
      </c>
      <c r="CH18" s="241">
        <f>Summary!CH32/Summary!CH131*4</f>
        <v>9.2021530296631778E-4</v>
      </c>
      <c r="CI18" s="241">
        <f>Summary!CI32/Summary!CI131*4</f>
        <v>9.0840395388856298E-4</v>
      </c>
      <c r="CJ18" s="241">
        <f>Summary!CJ32/Summary!CJ131*4</f>
        <v>8.9799369202705223E-4</v>
      </c>
      <c r="CK18" s="241">
        <f>Summary!CK32/Summary!CK131*4</f>
        <v>8.8450660310417431E-4</v>
      </c>
      <c r="CL18" s="241">
        <f>Summary!CL32/Summary!CL131*4</f>
        <v>8.7211884662702409E-4</v>
      </c>
      <c r="CM18" s="241">
        <f>Summary!CM32/Summary!CM131*4</f>
        <v>8.5744337895838425E-4</v>
      </c>
      <c r="CN18" s="241">
        <f>Summary!CN32/Summary!CN131*4</f>
        <v>8.4520667282763035E-4</v>
      </c>
      <c r="CO18" s="241">
        <f>Summary!CO32/Summary!CO131*4</f>
        <v>8.2989836754021086E-4</v>
      </c>
      <c r="CP18" s="241">
        <f>Summary!CP32/Summary!CP131*4</f>
        <v>8.1573857966091236E-4</v>
      </c>
      <c r="CQ18" s="241">
        <f>Summary!CQ32/Summary!CQ131*4</f>
        <v>7.9967693267942363E-4</v>
      </c>
    </row>
    <row r="19" spans="1:95" s="430" customFormat="1" ht="10.199999999999999">
      <c r="A19" s="441" t="s">
        <v>390</v>
      </c>
      <c r="B19" s="439"/>
      <c r="C19" s="439" t="e">
        <f t="shared" ref="C19:S19" si="22">SUM(C12:C18)</f>
        <v>#DIV/0!</v>
      </c>
      <c r="D19" s="439" t="e">
        <f t="shared" si="22"/>
        <v>#DIV/0!</v>
      </c>
      <c r="E19" s="439" t="e">
        <f t="shared" si="22"/>
        <v>#DIV/0!</v>
      </c>
      <c r="F19" s="439" t="e">
        <f t="shared" si="22"/>
        <v>#DIV/0!</v>
      </c>
      <c r="G19" s="439" t="e">
        <f t="shared" si="22"/>
        <v>#DIV/0!</v>
      </c>
      <c r="H19" s="439" t="e">
        <f t="shared" si="22"/>
        <v>#DIV/0!</v>
      </c>
      <c r="I19" s="439">
        <f t="shared" si="22"/>
        <v>5.9266479340338837E-2</v>
      </c>
      <c r="J19" s="439">
        <f t="shared" si="22"/>
        <v>3.0082728145136382E-2</v>
      </c>
      <c r="K19" s="439">
        <f t="shared" si="22"/>
        <v>3.0343837500659221E-2</v>
      </c>
      <c r="L19" s="440">
        <f t="shared" si="22"/>
        <v>2.7612221735884089E-2</v>
      </c>
      <c r="M19" s="440">
        <f t="shared" si="22"/>
        <v>2.3869087617010086E-2</v>
      </c>
      <c r="N19" s="440">
        <f t="shared" si="22"/>
        <v>2.705535434226241E-2</v>
      </c>
      <c r="O19" s="439">
        <f t="shared" si="22"/>
        <v>2.952945022215437E-2</v>
      </c>
      <c r="P19" s="438">
        <f t="shared" ca="1" si="22"/>
        <v>2.999471047255561E-2</v>
      </c>
      <c r="Q19" s="438">
        <f t="shared" ca="1" si="22"/>
        <v>3.155600299854909E-2</v>
      </c>
      <c r="R19" s="438">
        <f t="shared" ca="1" si="22"/>
        <v>3.3844795794774375E-2</v>
      </c>
      <c r="S19" s="438">
        <f t="shared" ca="1" si="22"/>
        <v>3.5657850339526766E-2</v>
      </c>
      <c r="T19" s="438">
        <f t="shared" ref="T19:U19" ca="1" si="23">SUM(T12:T18)</f>
        <v>3.7749635996344372E-2</v>
      </c>
      <c r="U19" s="438">
        <f t="shared" ca="1" si="23"/>
        <v>3.9789733237571727E-2</v>
      </c>
      <c r="W19" s="441" t="s">
        <v>390</v>
      </c>
      <c r="X19" s="439" t="e">
        <f t="shared" ref="X19:BC19" si="24">SUM(X12:X18)</f>
        <v>#DIV/0!</v>
      </c>
      <c r="Y19" s="439" t="e">
        <f t="shared" si="24"/>
        <v>#DIV/0!</v>
      </c>
      <c r="Z19" s="439" t="e">
        <f t="shared" si="24"/>
        <v>#DIV/0!</v>
      </c>
      <c r="AA19" s="439" t="e">
        <f t="shared" si="24"/>
        <v>#DIV/0!</v>
      </c>
      <c r="AB19" s="439" t="e">
        <f t="shared" si="24"/>
        <v>#DIV/0!</v>
      </c>
      <c r="AC19" s="439" t="e">
        <f t="shared" si="24"/>
        <v>#DIV/0!</v>
      </c>
      <c r="AD19" s="439" t="e">
        <f t="shared" si="24"/>
        <v>#DIV/0!</v>
      </c>
      <c r="AE19" s="439" t="e">
        <f t="shared" si="24"/>
        <v>#DIV/0!</v>
      </c>
      <c r="AF19" s="439" t="e">
        <f t="shared" si="24"/>
        <v>#DIV/0!</v>
      </c>
      <c r="AG19" s="439" t="e">
        <f t="shared" si="24"/>
        <v>#DIV/0!</v>
      </c>
      <c r="AH19" s="439" t="e">
        <f t="shared" si="24"/>
        <v>#DIV/0!</v>
      </c>
      <c r="AI19" s="439" t="e">
        <f t="shared" si="24"/>
        <v>#DIV/0!</v>
      </c>
      <c r="AJ19" s="439" t="e">
        <f t="shared" si="24"/>
        <v>#DIV/0!</v>
      </c>
      <c r="AK19" s="439" t="e">
        <f t="shared" si="24"/>
        <v>#DIV/0!</v>
      </c>
      <c r="AL19" s="439" t="e">
        <f t="shared" si="24"/>
        <v>#DIV/0!</v>
      </c>
      <c r="AM19" s="439" t="e">
        <f t="shared" si="24"/>
        <v>#DIV/0!</v>
      </c>
      <c r="AN19" s="439" t="e">
        <f t="shared" si="24"/>
        <v>#DIV/0!</v>
      </c>
      <c r="AO19" s="439" t="e">
        <f t="shared" si="24"/>
        <v>#DIV/0!</v>
      </c>
      <c r="AP19" s="439" t="e">
        <f t="shared" si="24"/>
        <v>#DIV/0!</v>
      </c>
      <c r="AQ19" s="439" t="e">
        <f t="shared" si="24"/>
        <v>#DIV/0!</v>
      </c>
      <c r="AR19" s="439">
        <f t="shared" si="24"/>
        <v>5.9856469106587658E-2</v>
      </c>
      <c r="AS19" s="439">
        <f t="shared" si="24"/>
        <v>3.0722063668805637E-2</v>
      </c>
      <c r="AT19" s="439">
        <f t="shared" si="24"/>
        <v>3.0188978352094192E-2</v>
      </c>
      <c r="AU19" s="439">
        <f t="shared" si="24"/>
        <v>2.8241336145345505E-2</v>
      </c>
      <c r="AV19" s="439">
        <f t="shared" si="24"/>
        <v>2.7807427489844022E-2</v>
      </c>
      <c r="AW19" s="439">
        <f t="shared" si="24"/>
        <v>3.8255538607056119E-2</v>
      </c>
      <c r="AX19" s="439">
        <f t="shared" si="24"/>
        <v>3.2643164646305053E-2</v>
      </c>
      <c r="AY19" s="439">
        <f t="shared" si="24"/>
        <v>2.5556364807728257E-2</v>
      </c>
      <c r="AZ19" s="439">
        <f t="shared" si="24"/>
        <v>3.2736773090815262E-2</v>
      </c>
      <c r="BA19" s="439">
        <f t="shared" si="24"/>
        <v>2.8306141285263358E-2</v>
      </c>
      <c r="BB19" s="439">
        <f t="shared" si="24"/>
        <v>3.2236603542292491E-2</v>
      </c>
      <c r="BC19" s="439">
        <f t="shared" si="24"/>
        <v>2.7733706275717841E-2</v>
      </c>
      <c r="BD19" s="440">
        <f t="shared" ref="BD19:CI19" si="25">SUM(BD12:BD18)</f>
        <v>2.9439156023714119E-2</v>
      </c>
      <c r="BE19" s="440">
        <f t="shared" si="25"/>
        <v>2.7478174784048095E-2</v>
      </c>
      <c r="BF19" s="440">
        <f t="shared" si="25"/>
        <v>2.9613142339940206E-2</v>
      </c>
      <c r="BG19" s="440">
        <f t="shared" si="25"/>
        <v>2.4181326118464103E-2</v>
      </c>
      <c r="BH19" s="439">
        <f t="shared" si="25"/>
        <v>2.6583645109654816E-2</v>
      </c>
      <c r="BI19" s="439">
        <f t="shared" ref="BI19" si="26">SUM(BI12:BI18)</f>
        <v>2.003222894676215E-2</v>
      </c>
      <c r="BJ19" s="439">
        <f t="shared" si="25"/>
        <v>2.6253482575446782E-2</v>
      </c>
      <c r="BK19" s="439">
        <f t="shared" si="25"/>
        <v>2.1941853186565257E-2</v>
      </c>
      <c r="BL19" s="439">
        <f t="shared" ref="BL19" si="27">SUM(BL12:BL18)</f>
        <v>2.7968066419680377E-2</v>
      </c>
      <c r="BM19" s="439">
        <f t="shared" si="25"/>
        <v>2.5611030630799458E-2</v>
      </c>
      <c r="BN19" s="439">
        <f t="shared" ref="BN19:BO19" si="28">SUM(BN12:BN18)</f>
        <v>2.867292721513379E-2</v>
      </c>
      <c r="BO19" s="439">
        <f t="shared" si="28"/>
        <v>2.4249444275549457E-2</v>
      </c>
      <c r="BP19" s="439">
        <f t="shared" si="25"/>
        <v>3.3035766994650419E-2</v>
      </c>
      <c r="BQ19" s="439">
        <f t="shared" ref="BQ19:BR19" si="29">SUM(BQ12:BQ18)</f>
        <v>2.954801236983846E-2</v>
      </c>
      <c r="BR19" s="439">
        <f t="shared" si="29"/>
        <v>2.8214877967845869E-2</v>
      </c>
      <c r="BS19" s="439">
        <f t="shared" ref="BS19" si="30">SUM(BS12:BS18)</f>
        <v>2.7599606448399445E-2</v>
      </c>
      <c r="BT19" s="438">
        <f t="shared" ca="1" si="25"/>
        <v>2.8935744283043331E-2</v>
      </c>
      <c r="BU19" s="438">
        <f t="shared" ca="1" si="25"/>
        <v>2.8834852718775266E-2</v>
      </c>
      <c r="BV19" s="438">
        <f t="shared" ca="1" si="25"/>
        <v>2.9979229284193627E-2</v>
      </c>
      <c r="BW19" s="438">
        <f t="shared" ca="1" si="25"/>
        <v>2.9997646991353426E-2</v>
      </c>
      <c r="BX19" s="438">
        <f t="shared" ca="1" si="25"/>
        <v>3.1116381984856709E-2</v>
      </c>
      <c r="BY19" s="438">
        <f t="shared" ca="1" si="25"/>
        <v>3.1389650824136799E-2</v>
      </c>
      <c r="BZ19" s="438">
        <f t="shared" ca="1" si="25"/>
        <v>3.1349678350775061E-2</v>
      </c>
      <c r="CA19" s="438">
        <f t="shared" ca="1" si="25"/>
        <v>3.1194348051759743E-2</v>
      </c>
      <c r="CB19" s="438">
        <f t="shared" ca="1" si="25"/>
        <v>3.2565233926875908E-2</v>
      </c>
      <c r="CC19" s="438">
        <f t="shared" ca="1" si="25"/>
        <v>3.353371799451095E-2</v>
      </c>
      <c r="CD19" s="438">
        <f t="shared" ca="1" si="25"/>
        <v>3.4013130205256807E-2</v>
      </c>
      <c r="CE19" s="438">
        <f t="shared" ca="1" si="25"/>
        <v>3.424598759997894E-2</v>
      </c>
      <c r="CF19" s="438">
        <f t="shared" ca="1" si="25"/>
        <v>3.5590485215690228E-2</v>
      </c>
      <c r="CG19" s="438">
        <f t="shared" ca="1" si="25"/>
        <v>3.5555088501903614E-2</v>
      </c>
      <c r="CH19" s="438">
        <f t="shared" ca="1" si="25"/>
        <v>3.5575941788678157E-2</v>
      </c>
      <c r="CI19" s="438">
        <f t="shared" ca="1" si="25"/>
        <v>3.5188028295443624E-2</v>
      </c>
      <c r="CJ19" s="438">
        <f t="shared" ref="CJ19:CM19" ca="1" si="31">SUM(CJ12:CJ18)</f>
        <v>3.7216566467279034E-2</v>
      </c>
      <c r="CK19" s="438">
        <f t="shared" ca="1" si="31"/>
        <v>3.7761814972022058E-2</v>
      </c>
      <c r="CL19" s="438">
        <f t="shared" ca="1" si="31"/>
        <v>3.8065258112684013E-2</v>
      </c>
      <c r="CM19" s="438">
        <f t="shared" ca="1" si="31"/>
        <v>3.7626101577317252E-2</v>
      </c>
      <c r="CN19" s="438">
        <f t="shared" ref="CN19:CQ19" ca="1" si="32">SUM(CN12:CN18)</f>
        <v>3.9575054319552556E-2</v>
      </c>
      <c r="CO19" s="438">
        <f t="shared" ca="1" si="32"/>
        <v>4.0010476319015484E-2</v>
      </c>
      <c r="CP19" s="438">
        <f t="shared" ca="1" si="32"/>
        <v>4.006375225135566E-2</v>
      </c>
      <c r="CQ19" s="438">
        <f t="shared" ca="1" si="32"/>
        <v>3.9647977259098667E-2</v>
      </c>
    </row>
    <row r="20" spans="1:95" s="424" customFormat="1" ht="10.199999999999999">
      <c r="A20" s="424" t="s">
        <v>389</v>
      </c>
      <c r="B20" s="242"/>
      <c r="C20" s="242" t="e">
        <f>(Summary!C36+Summary!C45)/Summary!C131</f>
        <v>#DIV/0!</v>
      </c>
      <c r="D20" s="242" t="e">
        <f>(Summary!D36+Summary!D45)/Summary!D131</f>
        <v>#DIV/0!</v>
      </c>
      <c r="E20" s="242" t="e">
        <f>(Summary!E36+Summary!E45)/Summary!E131</f>
        <v>#DIV/0!</v>
      </c>
      <c r="F20" s="242" t="e">
        <f>(Summary!F36+Summary!F45)/Summary!F131</f>
        <v>#DIV/0!</v>
      </c>
      <c r="G20" s="242" t="e">
        <f>(Summary!G36+Summary!G45)/Summary!G131</f>
        <v>#DIV/0!</v>
      </c>
      <c r="H20" s="242" t="e">
        <f>(Summary!H36+Summary!H45)/Summary!H131</f>
        <v>#DIV/0!</v>
      </c>
      <c r="I20" s="242">
        <f>(Summary!I36+Summary!I45)/Summary!I131</f>
        <v>-2.1645500264885734E-3</v>
      </c>
      <c r="J20" s="242">
        <f>(Summary!J36+Summary!J45)/Summary!J131</f>
        <v>-3.1473573550678863E-4</v>
      </c>
      <c r="K20" s="242">
        <f>(Summary!K36+Summary!K45)/Summary!K131</f>
        <v>7.7157436064904906E-4</v>
      </c>
      <c r="L20" s="246">
        <f>(Summary!L36+Summary!L45)/Summary!L131</f>
        <v>1.5199046032078492E-3</v>
      </c>
      <c r="M20" s="246">
        <f>(Summary!M36+Summary!M45)/Summary!M131</f>
        <v>-2.7603553807009373E-3</v>
      </c>
      <c r="N20" s="246">
        <f>(Summary!N36+Summary!N45)/Summary!N131</f>
        <v>-2.6370940319174284E-4</v>
      </c>
      <c r="O20" s="242">
        <f>(Summary!O36+Summary!O45)/Summary!O131</f>
        <v>-3.6229732319107349E-4</v>
      </c>
      <c r="P20" s="241">
        <f ca="1">(Summary!P36+Summary!P45)/Summary!P131</f>
        <v>-5.4945458786609543E-4</v>
      </c>
      <c r="Q20" s="241">
        <f ca="1">(Summary!Q36+Summary!Q45)/Summary!Q131</f>
        <v>-5.9167505622279557E-4</v>
      </c>
      <c r="R20" s="241">
        <f ca="1">(Summary!R36+Summary!R45)/Summary!R131</f>
        <v>-6.430511201007134E-4</v>
      </c>
      <c r="S20" s="241">
        <f ca="1">(Summary!S36+Summary!S45)/Summary!S131</f>
        <v>-6.7749915645100886E-4</v>
      </c>
      <c r="T20" s="241">
        <f ca="1">(Summary!T36+Summary!T45)/Summary!T131</f>
        <v>-7.1724308393054297E-4</v>
      </c>
      <c r="U20" s="241">
        <f ca="1">(Summary!U36+Summary!U45)/Summary!U131</f>
        <v>-7.5600493151386345E-4</v>
      </c>
      <c r="W20" s="424" t="s">
        <v>389</v>
      </c>
      <c r="X20" s="242" t="e">
        <f>(Summary!X36+Summary!X45)/Summary!X131*4</f>
        <v>#DIV/0!</v>
      </c>
      <c r="Y20" s="242" t="e">
        <f>(Summary!Y36+Summary!Y45)/Summary!Y131*4</f>
        <v>#DIV/0!</v>
      </c>
      <c r="Z20" s="242" t="e">
        <f>(Summary!Z36+Summary!Z45)/Summary!Z131*4</f>
        <v>#DIV/0!</v>
      </c>
      <c r="AA20" s="242" t="e">
        <f>(Summary!AA36+Summary!AA45)/Summary!AA131*4</f>
        <v>#DIV/0!</v>
      </c>
      <c r="AB20" s="242" t="e">
        <f>(Summary!AB36+Summary!AB45)/Summary!AB131*4</f>
        <v>#DIV/0!</v>
      </c>
      <c r="AC20" s="242" t="e">
        <f>(Summary!AC36+Summary!AC45)/Summary!AC131*4</f>
        <v>#DIV/0!</v>
      </c>
      <c r="AD20" s="242" t="e">
        <f>(Summary!AD36+Summary!AD45)/Summary!AD131*4</f>
        <v>#DIV/0!</v>
      </c>
      <c r="AE20" s="242" t="e">
        <f>(Summary!AE36+Summary!AE45)/Summary!AE131*4</f>
        <v>#DIV/0!</v>
      </c>
      <c r="AF20" s="242" t="e">
        <f>(Summary!AF36+Summary!AF45)/Summary!AF131*4</f>
        <v>#DIV/0!</v>
      </c>
      <c r="AG20" s="242" t="e">
        <f>(Summary!AG36+Summary!AG45)/Summary!AG131*4</f>
        <v>#DIV/0!</v>
      </c>
      <c r="AH20" s="242" t="e">
        <f>(Summary!AH36+Summary!AH45)/Summary!AH131*4</f>
        <v>#DIV/0!</v>
      </c>
      <c r="AI20" s="242" t="e">
        <f>(Summary!AI36+Summary!AI45)/Summary!AI131*4</f>
        <v>#DIV/0!</v>
      </c>
      <c r="AJ20" s="242" t="e">
        <f>(Summary!AJ36+Summary!AJ45)/Summary!AJ131*4</f>
        <v>#DIV/0!</v>
      </c>
      <c r="AK20" s="242" t="e">
        <f>(Summary!AK36+Summary!AK45)/Summary!AK131*4</f>
        <v>#DIV/0!</v>
      </c>
      <c r="AL20" s="242" t="e">
        <f>(Summary!AL36+Summary!AL45)/Summary!AL131*4</f>
        <v>#DIV/0!</v>
      </c>
      <c r="AM20" s="242" t="e">
        <f>(Summary!AM36+Summary!AM45)/Summary!AM131*4</f>
        <v>#DIV/0!</v>
      </c>
      <c r="AN20" s="242" t="e">
        <f>(Summary!AN36+Summary!AN45)/Summary!AN131*4</f>
        <v>#DIV/0!</v>
      </c>
      <c r="AO20" s="242" t="e">
        <f>(Summary!AO36+Summary!AO45)/Summary!AO131*4</f>
        <v>#DIV/0!</v>
      </c>
      <c r="AP20" s="242" t="e">
        <f>(Summary!AP36+Summary!AP45)/Summary!AP131*4</f>
        <v>#DIV/0!</v>
      </c>
      <c r="AQ20" s="242" t="e">
        <f>(Summary!AQ36+Summary!AQ45)/Summary!AQ131*4</f>
        <v>#DIV/0!</v>
      </c>
      <c r="AR20" s="242">
        <f>(Summary!AR36+Summary!AR45)/Summary!AR131*4</f>
        <v>-4.4725781747393988E-3</v>
      </c>
      <c r="AS20" s="242">
        <f>(Summary!AS36+Summary!AS45)/Summary!AS131*4</f>
        <v>-8.6750463428338846E-4</v>
      </c>
      <c r="AT20" s="242">
        <f>(Summary!AT36+Summary!AT45)/Summary!AT131*4</f>
        <v>6.4202357540357519E-4</v>
      </c>
      <c r="AU20" s="242">
        <f>(Summary!AU36+Summary!AU45)/Summary!AU131*4</f>
        <v>-1.7975232843731835E-3</v>
      </c>
      <c r="AV20" s="242">
        <f>(Summary!AV36+Summary!AV45)/Summary!AV131*4</f>
        <v>6.5781822930237256E-4</v>
      </c>
      <c r="AW20" s="242">
        <f>(Summary!AW36+Summary!AW45)/Summary!AW131*4</f>
        <v>-1.1490702045993211E-3</v>
      </c>
      <c r="AX20" s="242">
        <f>(Summary!AX36+Summary!AX45)/Summary!AX131*4</f>
        <v>8.0553640833999792E-4</v>
      </c>
      <c r="AY20" s="242">
        <f>(Summary!AY36+Summary!AY45)/Summary!AY131*4</f>
        <v>-1.4741864949107625E-3</v>
      </c>
      <c r="AZ20" s="242">
        <f>(Summary!AZ36+Summary!AZ45)/Summary!AZ131*4</f>
        <v>-3.578318961403115E-4</v>
      </c>
      <c r="BA20" s="242">
        <f>(Summary!BA36+Summary!BA45)/Summary!BA131*4</f>
        <v>1.142694759091314E-3</v>
      </c>
      <c r="BB20" s="242">
        <f>(Summary!BB36+Summary!BB45)/Summary!BB131*4</f>
        <v>-1.4988323580261971E-3</v>
      </c>
      <c r="BC20" s="242">
        <f>(Summary!BC36+Summary!BC45)/Summary!BC131*4</f>
        <v>3.7456694318806594E-3</v>
      </c>
      <c r="BD20" s="246">
        <f>(Summary!BD36+Summary!BD45)/Summary!BD131*4</f>
        <v>1.1632401231884159E-3</v>
      </c>
      <c r="BE20" s="246">
        <f>(Summary!BE36+Summary!BE45)/Summary!BE131*4</f>
        <v>-6.1215577143332322E-4</v>
      </c>
      <c r="BF20" s="246">
        <f>(Summary!BF36+Summary!BF45)/Summary!BF131*4</f>
        <v>2.9987133698620816E-3</v>
      </c>
      <c r="BG20" s="246">
        <f>(Summary!BG36+Summary!BG45)/Summary!BG131*4</f>
        <v>2.3667800242354823E-3</v>
      </c>
      <c r="BH20" s="242">
        <f>(Summary!BH36+Summary!BH45)/Summary!BH131*4</f>
        <v>-2.1642845245513163E-3</v>
      </c>
      <c r="BI20" s="242">
        <f>(Summary!BI36+Summary!BI45)/Summary!BI131*4</f>
        <v>-7.7448968877479232E-3</v>
      </c>
      <c r="BJ20" s="242">
        <f>(Summary!BJ36+Summary!BJ45)/Summary!BJ131*4</f>
        <v>-7.4821180884647182E-4</v>
      </c>
      <c r="BK20" s="242">
        <f>(Summary!BK36+Summary!BK45)/Summary!BK131*4</f>
        <v>-3.5443437396343399E-4</v>
      </c>
      <c r="BL20" s="242">
        <f>(Summary!BL36+Summary!BL45)/Summary!BL131*4</f>
        <v>-6.0886168988306499E-4</v>
      </c>
      <c r="BM20" s="242">
        <f>(Summary!BM36+Summary!BM45)/Summary!BM131*4</f>
        <v>-4.593505464606393E-4</v>
      </c>
      <c r="BN20" s="242">
        <f>(Summary!BN36+Summary!BN45)/Summary!BN131*4</f>
        <v>-3.1834275896033885E-4</v>
      </c>
      <c r="BO20" s="242">
        <f>(Summary!BO36+Summary!BO45)/Summary!BO131*4</f>
        <v>2.9695779059584409E-4</v>
      </c>
      <c r="BP20" s="242">
        <f>(Summary!BP36+Summary!BP45)/Summary!BP131*4</f>
        <v>-7.7795184301481901E-4</v>
      </c>
      <c r="BQ20" s="242">
        <f>(Summary!BQ36+Summary!BQ45)/Summary!BQ131*4</f>
        <v>-2.9994723116667993E-4</v>
      </c>
      <c r="BR20" s="242">
        <f>(Summary!BR36+Summary!BR45)/Summary!BR131*4</f>
        <v>-4.8258002120468713E-4</v>
      </c>
      <c r="BS20" s="242">
        <f>(Summary!BS36+Summary!BS45)/Summary!BS131*4</f>
        <v>6.8407452433117498E-5</v>
      </c>
      <c r="BT20" s="241">
        <f ca="1">(Summary!BT36+Summary!BT45)/Summary!BT131*4</f>
        <v>-5.244603651301604E-4</v>
      </c>
      <c r="BU20" s="241">
        <f ca="1">(Summary!BU36+Summary!BU45)/Summary!BU131*4</f>
        <v>-5.2623606211764829E-4</v>
      </c>
      <c r="BV20" s="241">
        <f ca="1">(Summary!BV36+Summary!BV45)/Summary!BV131*4</f>
        <v>-5.5086833809705766E-4</v>
      </c>
      <c r="BW20" s="241">
        <f ca="1">(Summary!BW36+Summary!BW45)/Summary!BW131*4</f>
        <v>-5.549564693400383E-4</v>
      </c>
      <c r="BX20" s="241">
        <f ca="1">(Summary!BX36+Summary!BX45)/Summary!BX131*4</f>
        <v>-5.8343216221606344E-4</v>
      </c>
      <c r="BY20" s="241">
        <f ca="1">(Summary!BY36+Summary!BY45)/Summary!BY131*4</f>
        <v>-5.8855595295256489E-4</v>
      </c>
      <c r="BZ20" s="241">
        <f ca="1">(Summary!BZ36+Summary!BZ45)/Summary!BZ131*4</f>
        <v>-5.878064690770325E-4</v>
      </c>
      <c r="CA20" s="241">
        <f ca="1">(Summary!CA36+Summary!CA45)/Summary!CA131*4</f>
        <v>-5.8489402597049537E-4</v>
      </c>
      <c r="CB20" s="241">
        <f ca="1">(Summary!CB36+Summary!CB45)/Summary!CB131*4</f>
        <v>-6.1873944461064256E-4</v>
      </c>
      <c r="CC20" s="241">
        <f ca="1">(Summary!CC36+Summary!CC45)/Summary!CC131*4</f>
        <v>-6.3714064189570826E-4</v>
      </c>
      <c r="CD20" s="241">
        <f ca="1">(Summary!CD36+Summary!CD45)/Summary!CD131*4</f>
        <v>-6.4624947389987995E-4</v>
      </c>
      <c r="CE20" s="241">
        <f ca="1">(Summary!CE36+Summary!CE45)/Summary!CE131*4</f>
        <v>-6.5067376439959998E-4</v>
      </c>
      <c r="CF20" s="241">
        <f ca="1">(Summary!CF36+Summary!CF45)/Summary!CF131*4</f>
        <v>-6.7621921909811436E-4</v>
      </c>
      <c r="CG20" s="241">
        <f ca="1">(Summary!CG36+Summary!CG45)/Summary!CG131*4</f>
        <v>-6.7554668153616861E-4</v>
      </c>
      <c r="CH20" s="241">
        <f ca="1">(Summary!CH36+Summary!CH45)/Summary!CH131*4</f>
        <v>-6.7594289398488516E-4</v>
      </c>
      <c r="CI20" s="241">
        <f ca="1">(Summary!CI36+Summary!CI45)/Summary!CI131*4</f>
        <v>-6.6857253761342902E-4</v>
      </c>
      <c r="CJ20" s="241">
        <f ca="1">(Summary!CJ36+Summary!CJ45)/Summary!CJ131*4</f>
        <v>-7.0711476287830188E-4</v>
      </c>
      <c r="CK20" s="241">
        <f ca="1">(Summary!CK36+Summary!CK45)/Summary!CK131*4</f>
        <v>-7.1747448446841933E-4</v>
      </c>
      <c r="CL20" s="241">
        <f ca="1">(Summary!CL36+Summary!CL45)/Summary!CL131*4</f>
        <v>-7.232399041409961E-4</v>
      </c>
      <c r="CM20" s="241">
        <f ca="1">(Summary!CM36+Summary!CM45)/Summary!CM131*4</f>
        <v>-7.1489592996902779E-4</v>
      </c>
      <c r="CN20" s="241">
        <f ca="1">(Summary!CN36+Summary!CN45)/Summary!CN131*4</f>
        <v>-7.5192603207149898E-4</v>
      </c>
      <c r="CO20" s="241">
        <f ca="1">(Summary!CO36+Summary!CO45)/Summary!CO131*4</f>
        <v>-7.6019905006129433E-4</v>
      </c>
      <c r="CP20" s="241">
        <f ca="1">(Summary!CP36+Summary!CP45)/Summary!CP131*4</f>
        <v>-7.6121129277575733E-4</v>
      </c>
      <c r="CQ20" s="241">
        <f ca="1">(Summary!CQ36+Summary!CQ45)/Summary!CQ131*4</f>
        <v>-7.5331156792287507E-4</v>
      </c>
    </row>
    <row r="21" spans="1:95" s="424" customFormat="1" ht="10.199999999999999">
      <c r="A21" s="424" t="s">
        <v>40</v>
      </c>
      <c r="B21" s="242"/>
      <c r="C21" s="242" t="e">
        <f>Summary!C40/Summary!C131</f>
        <v>#DIV/0!</v>
      </c>
      <c r="D21" s="242" t="e">
        <f>Summary!D40/Summary!D131</f>
        <v>#DIV/0!</v>
      </c>
      <c r="E21" s="242" t="e">
        <f>Summary!E40/Summary!E131</f>
        <v>#DIV/0!</v>
      </c>
      <c r="F21" s="242" t="e">
        <f>Summary!F40/Summary!F131</f>
        <v>#DIV/0!</v>
      </c>
      <c r="G21" s="242" t="e">
        <f>Summary!G40/Summary!G131</f>
        <v>#DIV/0!</v>
      </c>
      <c r="H21" s="242" t="e">
        <f>Summary!H40/Summary!H131</f>
        <v>#DIV/0!</v>
      </c>
      <c r="I21" s="242">
        <f>Summary!I40/Summary!I131</f>
        <v>-1.3061668377614558E-2</v>
      </c>
      <c r="J21" s="242">
        <f>Summary!J40/Summary!J131</f>
        <v>-7.3424480489093754E-3</v>
      </c>
      <c r="K21" s="242">
        <f>Summary!K40/Summary!K131</f>
        <v>-6.9520113548732134E-3</v>
      </c>
      <c r="L21" s="246">
        <f>Summary!L40/Summary!L131</f>
        <v>-7.0362251973581204E-3</v>
      </c>
      <c r="M21" s="246">
        <f>Summary!M40/Summary!M131</f>
        <v>-7.0865234868841441E-3</v>
      </c>
      <c r="N21" s="246">
        <f>Summary!N40/Summary!N131</f>
        <v>-7.4109762448912641E-3</v>
      </c>
      <c r="O21" s="242">
        <f>Summary!O40/Summary!O131</f>
        <v>-8.0663871991432882E-3</v>
      </c>
      <c r="P21" s="241">
        <f ca="1">Summary!P40/Summary!P131</f>
        <v>-8.0165269579117945E-3</v>
      </c>
      <c r="Q21" s="241">
        <f ca="1">Summary!Q40/Summary!Q131</f>
        <v>-7.8890007496372726E-3</v>
      </c>
      <c r="R21" s="241">
        <f ca="1">Summary!R40/Summary!R131</f>
        <v>-8.1227509907458514E-3</v>
      </c>
      <c r="S21" s="241">
        <f ca="1">Summary!S40/Summary!S131</f>
        <v>-8.557884081486427E-3</v>
      </c>
      <c r="T21" s="241">
        <f ca="1">Summary!T40/Summary!T131</f>
        <v>-9.059912639122647E-3</v>
      </c>
      <c r="U21" s="241">
        <f ca="1">Summary!U40/Summary!U131</f>
        <v>-9.5495359770172202E-3</v>
      </c>
      <c r="W21" s="424" t="s">
        <v>40</v>
      </c>
      <c r="X21" s="242" t="e">
        <f>Summary!X40/Summary!X131*4</f>
        <v>#DIV/0!</v>
      </c>
      <c r="Y21" s="242" t="e">
        <f>Summary!Y40/Summary!Y131*4</f>
        <v>#DIV/0!</v>
      </c>
      <c r="Z21" s="242" t="e">
        <f>Summary!Z40/Summary!Z131*4</f>
        <v>#DIV/0!</v>
      </c>
      <c r="AA21" s="242" t="e">
        <f>Summary!AA40/Summary!AA131*4</f>
        <v>#DIV/0!</v>
      </c>
      <c r="AB21" s="242" t="e">
        <f>Summary!AB40/Summary!AB131*4</f>
        <v>#DIV/0!</v>
      </c>
      <c r="AC21" s="242" t="e">
        <f>Summary!AC40/Summary!AC131*4</f>
        <v>#DIV/0!</v>
      </c>
      <c r="AD21" s="242" t="e">
        <f>Summary!AD40/Summary!AD131*4</f>
        <v>#DIV/0!</v>
      </c>
      <c r="AE21" s="242" t="e">
        <f>Summary!AE40/Summary!AE131*4</f>
        <v>#DIV/0!</v>
      </c>
      <c r="AF21" s="242" t="e">
        <f>Summary!AF40/Summary!AF131*4</f>
        <v>#DIV/0!</v>
      </c>
      <c r="AG21" s="242" t="e">
        <f>Summary!AG40/Summary!AG131*4</f>
        <v>#DIV/0!</v>
      </c>
      <c r="AH21" s="242" t="e">
        <f>Summary!AH40/Summary!AH131*4</f>
        <v>#DIV/0!</v>
      </c>
      <c r="AI21" s="242" t="e">
        <f>Summary!AI40/Summary!AI131*4</f>
        <v>#DIV/0!</v>
      </c>
      <c r="AJ21" s="242" t="e">
        <f>Summary!AJ40/Summary!AJ131*4</f>
        <v>#DIV/0!</v>
      </c>
      <c r="AK21" s="242" t="e">
        <f>Summary!AK40/Summary!AK131*4</f>
        <v>#DIV/0!</v>
      </c>
      <c r="AL21" s="242" t="e">
        <f>Summary!AL40/Summary!AL131*4</f>
        <v>#DIV/0!</v>
      </c>
      <c r="AM21" s="242" t="e">
        <f>Summary!AM40/Summary!AM131*4</f>
        <v>#DIV/0!</v>
      </c>
      <c r="AN21" s="242" t="e">
        <f>Summary!AN40/Summary!AN131*4</f>
        <v>#DIV/0!</v>
      </c>
      <c r="AO21" s="242" t="e">
        <f>Summary!AO40/Summary!AO131*4</f>
        <v>#DIV/0!</v>
      </c>
      <c r="AP21" s="242" t="e">
        <f>Summary!AP40/Summary!AP131*4</f>
        <v>#DIV/0!</v>
      </c>
      <c r="AQ21" s="242" t="e">
        <f>Summary!AQ40/Summary!AQ131*4</f>
        <v>#DIV/0!</v>
      </c>
      <c r="AR21" s="242">
        <f>Summary!AR40/Summary!AR131*4</f>
        <v>-1.2937043449028912E-2</v>
      </c>
      <c r="AS21" s="242">
        <f>Summary!AS40/Summary!AS131*4</f>
        <v>-8.5145219835721687E-3</v>
      </c>
      <c r="AT21" s="242">
        <f>Summary!AT40/Summary!AT131*4</f>
        <v>-7.5780220634360813E-3</v>
      </c>
      <c r="AU21" s="242">
        <f>Summary!AU40/Summary!AU131*4</f>
        <v>-3.6218654512016079E-3</v>
      </c>
      <c r="AV21" s="242">
        <f>Summary!AV40/Summary!AV131*4</f>
        <v>-6.8721696665721308E-3</v>
      </c>
      <c r="AW21" s="242">
        <f>Summary!AW40/Summary!AW131*4</f>
        <v>-9.6573286344660714E-3</v>
      </c>
      <c r="AX21" s="242">
        <f>Summary!AX40/Summary!AX131*4</f>
        <v>-8.7046561293446945E-3</v>
      </c>
      <c r="AY21" s="242">
        <f>Summary!AY40/Summary!AY131*4</f>
        <v>-5.2098831900434673E-3</v>
      </c>
      <c r="AZ21" s="242">
        <f>Summary!AZ40/Summary!AZ131*4</f>
        <v>-8.3395772002749242E-3</v>
      </c>
      <c r="BA21" s="242">
        <f>Summary!BA40/Summary!BA131*4</f>
        <v>-5.8588209307121712E-3</v>
      </c>
      <c r="BB21" s="242">
        <f>Summary!BB40/Summary!BB131*4</f>
        <v>-7.8636233511946377E-3</v>
      </c>
      <c r="BC21" s="242">
        <f>Summary!BC40/Summary!BC131*4</f>
        <v>-5.6787871222947614E-3</v>
      </c>
      <c r="BD21" s="246">
        <f>Summary!BD40/Summary!BD131*4</f>
        <v>-7.3775083600811243E-3</v>
      </c>
      <c r="BE21" s="246">
        <f>Summary!BE40/Summary!BE131*4</f>
        <v>-6.7767058688329588E-3</v>
      </c>
      <c r="BF21" s="246">
        <f>Summary!BF40/Summary!BF131*4</f>
        <v>-7.7815246769622343E-3</v>
      </c>
      <c r="BG21" s="246">
        <f>Summary!BG40/Summary!BG131*4</f>
        <v>-6.2517139671965918E-3</v>
      </c>
      <c r="BH21" s="242">
        <f>Summary!BH40/Summary!BH131*4</f>
        <v>-6.9607693091978942E-3</v>
      </c>
      <c r="BI21" s="242">
        <f>Summary!BI40/Summary!BI131*4</f>
        <v>-6.9969896857267214E-3</v>
      </c>
      <c r="BJ21" s="242">
        <f>Summary!BJ40/Summary!BJ131*4</f>
        <v>-7.5044952036409391E-3</v>
      </c>
      <c r="BK21" s="242">
        <f>Summary!BK40/Summary!BK131*4</f>
        <v>-6.6600431711277552E-3</v>
      </c>
      <c r="BL21" s="242">
        <f>Summary!BL40/Summary!BL131*4</f>
        <v>-7.1340725953050414E-3</v>
      </c>
      <c r="BM21" s="242">
        <f>Summary!BM40/Summary!BM131*4</f>
        <v>-6.5277404402166736E-3</v>
      </c>
      <c r="BN21" s="242">
        <f>Summary!BN40/Summary!BN131*4</f>
        <v>-8.4794095065152588E-3</v>
      </c>
      <c r="BO21" s="242">
        <f>Summary!BO40/Summary!BO131*4</f>
        <v>-6.9620369475303793E-3</v>
      </c>
      <c r="BP21" s="242">
        <f>Summary!BP40/Summary!BP131*4</f>
        <v>-8.9587799306259201E-3</v>
      </c>
      <c r="BQ21" s="242">
        <f>Summary!BQ40/Summary!BQ131*4</f>
        <v>-8.1488386481500513E-3</v>
      </c>
      <c r="BR21" s="242">
        <f>Summary!BR40/Summary!BR131*4</f>
        <v>-7.5140380393186774E-3</v>
      </c>
      <c r="BS21" s="242">
        <f>Summary!BS40/Summary!BS131*4</f>
        <v>-7.7119937599333891E-3</v>
      </c>
      <c r="BT21" s="241">
        <f ca="1">Summary!BT40/Summary!BT131*4</f>
        <v>-7.9573296778369159E-3</v>
      </c>
      <c r="BU21" s="241">
        <f ca="1">Summary!BU40/Summary!BU131*4</f>
        <v>-7.7854102340693182E-3</v>
      </c>
      <c r="BV21" s="241">
        <f ca="1">Summary!BV40/Summary!BV131*4</f>
        <v>-7.944495760311308E-3</v>
      </c>
      <c r="BW21" s="241">
        <f ca="1">Summary!BW40/Summary!BW131*4</f>
        <v>-7.7993882177518903E-3</v>
      </c>
      <c r="BX21" s="241">
        <f ca="1">Summary!BX40/Summary!BX131*4</f>
        <v>-7.7790954962141771E-3</v>
      </c>
      <c r="BY21" s="241">
        <f ca="1">Summary!BY40/Summary!BY131*4</f>
        <v>-7.8474127060341962E-3</v>
      </c>
      <c r="BZ21" s="241">
        <f ca="1">Summary!BZ40/Summary!BZ131*4</f>
        <v>-7.8374195876937652E-3</v>
      </c>
      <c r="CA21" s="241">
        <f ca="1">Summary!CA40/Summary!CA131*4</f>
        <v>-7.7985870129399365E-3</v>
      </c>
      <c r="CB21" s="241">
        <f ca="1">Summary!CB40/Summary!CB131*4</f>
        <v>-7.8156561424502207E-3</v>
      </c>
      <c r="CC21" s="241">
        <f ca="1">Summary!CC40/Summary!CC131*4</f>
        <v>-8.0480923186826286E-3</v>
      </c>
      <c r="CD21" s="241">
        <f ca="1">Summary!CD40/Summary!CD131*4</f>
        <v>-8.1631512492616378E-3</v>
      </c>
      <c r="CE21" s="241">
        <f ca="1">Summary!CE40/Summary!CE131*4</f>
        <v>-8.2190370239949469E-3</v>
      </c>
      <c r="CF21" s="241">
        <f ca="1">Summary!CF40/Summary!CF131*4</f>
        <v>-8.5417164517656522E-3</v>
      </c>
      <c r="CG21" s="241">
        <f ca="1">Summary!CG40/Summary!CG131*4</f>
        <v>-8.533221240456865E-3</v>
      </c>
      <c r="CH21" s="241">
        <f ca="1">Summary!CH40/Summary!CH131*4</f>
        <v>-8.538226029282758E-3</v>
      </c>
      <c r="CI21" s="241">
        <f ca="1">Summary!CI40/Summary!CI131*4</f>
        <v>-8.4451267909064712E-3</v>
      </c>
      <c r="CJ21" s="241">
        <f ca="1">Summary!CJ40/Summary!CJ131*4</f>
        <v>-8.9319759521469689E-3</v>
      </c>
      <c r="CK21" s="241">
        <f ca="1">Summary!CK40/Summary!CK131*4</f>
        <v>-9.0628355932852959E-3</v>
      </c>
      <c r="CL21" s="241">
        <f ca="1">Summary!CL40/Summary!CL131*4</f>
        <v>-9.1356619470441582E-3</v>
      </c>
      <c r="CM21" s="241">
        <f ca="1">Summary!CM40/Summary!CM131*4</f>
        <v>-9.0302643785561392E-3</v>
      </c>
      <c r="CN21" s="241">
        <f ca="1">Summary!CN40/Summary!CN131*4</f>
        <v>-9.4980130366926156E-3</v>
      </c>
      <c r="CO21" s="241">
        <f ca="1">Summary!CO40/Summary!CO131*4</f>
        <v>-9.6025143165637157E-3</v>
      </c>
      <c r="CP21" s="241">
        <f ca="1">Summary!CP40/Summary!CP131*4</f>
        <v>-9.6153005403253559E-3</v>
      </c>
      <c r="CQ21" s="241">
        <f ca="1">Summary!CQ40/Summary!CQ131*4</f>
        <v>-9.5155145421836826E-3</v>
      </c>
    </row>
    <row r="22" spans="1:95" s="430" customFormat="1" ht="10.199999999999999">
      <c r="A22" s="441" t="s">
        <v>344</v>
      </c>
      <c r="B22" s="439"/>
      <c r="C22" s="439" t="e">
        <f t="shared" ref="C22:S22" si="33">C19+C20+C21</f>
        <v>#DIV/0!</v>
      </c>
      <c r="D22" s="439" t="e">
        <f t="shared" si="33"/>
        <v>#DIV/0!</v>
      </c>
      <c r="E22" s="439" t="e">
        <f t="shared" si="33"/>
        <v>#DIV/0!</v>
      </c>
      <c r="F22" s="439" t="e">
        <f t="shared" si="33"/>
        <v>#DIV/0!</v>
      </c>
      <c r="G22" s="439" t="e">
        <f t="shared" si="33"/>
        <v>#DIV/0!</v>
      </c>
      <c r="H22" s="439" t="e">
        <f t="shared" si="33"/>
        <v>#DIV/0!</v>
      </c>
      <c r="I22" s="439">
        <f t="shared" si="33"/>
        <v>4.4040260936235705E-2</v>
      </c>
      <c r="J22" s="439">
        <f t="shared" si="33"/>
        <v>2.242554436072022E-2</v>
      </c>
      <c r="K22" s="439">
        <f t="shared" si="33"/>
        <v>2.4163400506435055E-2</v>
      </c>
      <c r="L22" s="440">
        <f t="shared" si="33"/>
        <v>2.209590114173382E-2</v>
      </c>
      <c r="M22" s="440">
        <f t="shared" si="33"/>
        <v>1.4022208749425003E-2</v>
      </c>
      <c r="N22" s="440">
        <f t="shared" si="33"/>
        <v>1.9380668694179405E-2</v>
      </c>
      <c r="O22" s="439">
        <f t="shared" si="33"/>
        <v>2.1100765699820008E-2</v>
      </c>
      <c r="P22" s="438">
        <f t="shared" ca="1" si="33"/>
        <v>2.1428728926777722E-2</v>
      </c>
      <c r="Q22" s="438">
        <f t="shared" ca="1" si="33"/>
        <v>2.3075327192689021E-2</v>
      </c>
      <c r="R22" s="438">
        <f t="shared" ca="1" si="33"/>
        <v>2.5078993683927811E-2</v>
      </c>
      <c r="S22" s="438">
        <f t="shared" ca="1" si="33"/>
        <v>2.6422467101589329E-2</v>
      </c>
      <c r="T22" s="438">
        <f t="shared" ref="T22:U22" ca="1" si="34">T19+T20+T21</f>
        <v>2.7972480273291182E-2</v>
      </c>
      <c r="U22" s="438">
        <f t="shared" ca="1" si="34"/>
        <v>2.9484192329040641E-2</v>
      </c>
      <c r="W22" s="441" t="s">
        <v>344</v>
      </c>
      <c r="X22" s="439" t="e">
        <f t="shared" ref="X22:BC22" si="35">X19+X20+X21</f>
        <v>#DIV/0!</v>
      </c>
      <c r="Y22" s="439" t="e">
        <f t="shared" si="35"/>
        <v>#DIV/0!</v>
      </c>
      <c r="Z22" s="439" t="e">
        <f t="shared" si="35"/>
        <v>#DIV/0!</v>
      </c>
      <c r="AA22" s="439" t="e">
        <f t="shared" si="35"/>
        <v>#DIV/0!</v>
      </c>
      <c r="AB22" s="439" t="e">
        <f t="shared" si="35"/>
        <v>#DIV/0!</v>
      </c>
      <c r="AC22" s="439" t="e">
        <f t="shared" si="35"/>
        <v>#DIV/0!</v>
      </c>
      <c r="AD22" s="439" t="e">
        <f t="shared" si="35"/>
        <v>#DIV/0!</v>
      </c>
      <c r="AE22" s="439" t="e">
        <f t="shared" si="35"/>
        <v>#DIV/0!</v>
      </c>
      <c r="AF22" s="439" t="e">
        <f t="shared" si="35"/>
        <v>#DIV/0!</v>
      </c>
      <c r="AG22" s="439" t="e">
        <f t="shared" si="35"/>
        <v>#DIV/0!</v>
      </c>
      <c r="AH22" s="439" t="e">
        <f t="shared" si="35"/>
        <v>#DIV/0!</v>
      </c>
      <c r="AI22" s="439" t="e">
        <f t="shared" si="35"/>
        <v>#DIV/0!</v>
      </c>
      <c r="AJ22" s="439" t="e">
        <f t="shared" si="35"/>
        <v>#DIV/0!</v>
      </c>
      <c r="AK22" s="439" t="e">
        <f t="shared" si="35"/>
        <v>#DIV/0!</v>
      </c>
      <c r="AL22" s="439" t="e">
        <f t="shared" si="35"/>
        <v>#DIV/0!</v>
      </c>
      <c r="AM22" s="439" t="e">
        <f t="shared" si="35"/>
        <v>#DIV/0!</v>
      </c>
      <c r="AN22" s="439" t="e">
        <f t="shared" si="35"/>
        <v>#DIV/0!</v>
      </c>
      <c r="AO22" s="439" t="e">
        <f t="shared" si="35"/>
        <v>#DIV/0!</v>
      </c>
      <c r="AP22" s="439" t="e">
        <f t="shared" si="35"/>
        <v>#DIV/0!</v>
      </c>
      <c r="AQ22" s="439" t="e">
        <f t="shared" si="35"/>
        <v>#DIV/0!</v>
      </c>
      <c r="AR22" s="439">
        <f t="shared" si="35"/>
        <v>4.2446847482819343E-2</v>
      </c>
      <c r="AS22" s="439">
        <f t="shared" si="35"/>
        <v>2.134003705095008E-2</v>
      </c>
      <c r="AT22" s="439">
        <f t="shared" si="35"/>
        <v>2.3252979864061683E-2</v>
      </c>
      <c r="AU22" s="439">
        <f t="shared" si="35"/>
        <v>2.2821947409770713E-2</v>
      </c>
      <c r="AV22" s="439">
        <f t="shared" si="35"/>
        <v>2.1593076052574264E-2</v>
      </c>
      <c r="AW22" s="439">
        <f t="shared" si="35"/>
        <v>2.7449139767990731E-2</v>
      </c>
      <c r="AX22" s="439">
        <f t="shared" si="35"/>
        <v>2.4744044925300357E-2</v>
      </c>
      <c r="AY22" s="439">
        <f t="shared" si="35"/>
        <v>1.8872295122774024E-2</v>
      </c>
      <c r="AZ22" s="439">
        <f t="shared" si="35"/>
        <v>2.4039363994400029E-2</v>
      </c>
      <c r="BA22" s="439">
        <f t="shared" si="35"/>
        <v>2.3590015113642501E-2</v>
      </c>
      <c r="BB22" s="439">
        <f t="shared" si="35"/>
        <v>2.2874147833071658E-2</v>
      </c>
      <c r="BC22" s="439">
        <f t="shared" si="35"/>
        <v>2.5800588585303735E-2</v>
      </c>
      <c r="BD22" s="440">
        <f t="shared" ref="BD22:CI22" si="36">BD19+BD20+BD21</f>
        <v>2.3224887786821413E-2</v>
      </c>
      <c r="BE22" s="440">
        <f t="shared" si="36"/>
        <v>2.0089313143781814E-2</v>
      </c>
      <c r="BF22" s="440">
        <f t="shared" si="36"/>
        <v>2.4830331032840054E-2</v>
      </c>
      <c r="BG22" s="440">
        <f t="shared" si="36"/>
        <v>2.0296392175502991E-2</v>
      </c>
      <c r="BH22" s="439">
        <f t="shared" si="36"/>
        <v>1.7458591275905606E-2</v>
      </c>
      <c r="BI22" s="439">
        <f t="shared" ref="BI22" si="37">BI19+BI20+BI21</f>
        <v>5.2903423732875059E-3</v>
      </c>
      <c r="BJ22" s="439">
        <f t="shared" si="36"/>
        <v>1.800077556295937E-2</v>
      </c>
      <c r="BK22" s="439">
        <f t="shared" si="36"/>
        <v>1.4927375641474068E-2</v>
      </c>
      <c r="BL22" s="439">
        <f t="shared" ref="BL22" si="38">BL19+BL20+BL21</f>
        <v>2.0225132134492271E-2</v>
      </c>
      <c r="BM22" s="439">
        <f t="shared" si="36"/>
        <v>1.8623939644122147E-2</v>
      </c>
      <c r="BN22" s="439">
        <f t="shared" ref="BN22:BO22" si="39">BN19+BN20+BN21</f>
        <v>1.9875174949658195E-2</v>
      </c>
      <c r="BO22" s="439">
        <f t="shared" si="39"/>
        <v>1.7584365118614921E-2</v>
      </c>
      <c r="BP22" s="439">
        <f t="shared" si="36"/>
        <v>2.3299035221009682E-2</v>
      </c>
      <c r="BQ22" s="439">
        <f t="shared" ref="BQ22:BR22" si="40">BQ19+BQ20+BQ21</f>
        <v>2.1099226490521726E-2</v>
      </c>
      <c r="BR22" s="439">
        <f t="shared" si="40"/>
        <v>2.0218259907322504E-2</v>
      </c>
      <c r="BS22" s="439">
        <f t="shared" ref="BS22" si="41">BS19+BS20+BS21</f>
        <v>1.9956020140899172E-2</v>
      </c>
      <c r="BT22" s="438">
        <f t="shared" ca="1" si="36"/>
        <v>2.0453954240076254E-2</v>
      </c>
      <c r="BU22" s="438">
        <f t="shared" ca="1" si="36"/>
        <v>2.05232064225883E-2</v>
      </c>
      <c r="BV22" s="438">
        <f t="shared" ca="1" si="36"/>
        <v>2.148386518578526E-2</v>
      </c>
      <c r="BW22" s="438">
        <f t="shared" ca="1" si="36"/>
        <v>2.1643302304261498E-2</v>
      </c>
      <c r="BX22" s="438">
        <f t="shared" ca="1" si="36"/>
        <v>2.275385432642647E-2</v>
      </c>
      <c r="BY22" s="438">
        <f t="shared" ca="1" si="36"/>
        <v>2.2953682165150036E-2</v>
      </c>
      <c r="BZ22" s="438">
        <f t="shared" ca="1" si="36"/>
        <v>2.2924452294004263E-2</v>
      </c>
      <c r="CA22" s="438">
        <f t="shared" ca="1" si="36"/>
        <v>2.281086701284931E-2</v>
      </c>
      <c r="CB22" s="438">
        <f t="shared" ca="1" si="36"/>
        <v>2.4130838339815046E-2</v>
      </c>
      <c r="CC22" s="438">
        <f t="shared" ca="1" si="36"/>
        <v>2.484848503393261E-2</v>
      </c>
      <c r="CD22" s="438">
        <f t="shared" ca="1" si="36"/>
        <v>2.5203729482095288E-2</v>
      </c>
      <c r="CE22" s="438">
        <f t="shared" ca="1" si="36"/>
        <v>2.5376276811584397E-2</v>
      </c>
      <c r="CF22" s="438">
        <f t="shared" ca="1" si="36"/>
        <v>2.6372549544826464E-2</v>
      </c>
      <c r="CG22" s="438">
        <f t="shared" ca="1" si="36"/>
        <v>2.6346320579910584E-2</v>
      </c>
      <c r="CH22" s="438">
        <f t="shared" ca="1" si="36"/>
        <v>2.6361772865410513E-2</v>
      </c>
      <c r="CI22" s="438">
        <f t="shared" ca="1" si="36"/>
        <v>2.6074328966923722E-2</v>
      </c>
      <c r="CJ22" s="438">
        <f t="shared" ref="CJ22:CM22" ca="1" si="42">CJ19+CJ20+CJ21</f>
        <v>2.7577475752253763E-2</v>
      </c>
      <c r="CK22" s="438">
        <f t="shared" ca="1" si="42"/>
        <v>2.7981504894268344E-2</v>
      </c>
      <c r="CL22" s="438">
        <f t="shared" ca="1" si="42"/>
        <v>2.8206356261498856E-2</v>
      </c>
      <c r="CM22" s="438">
        <f t="shared" ca="1" si="42"/>
        <v>2.7880941268792085E-2</v>
      </c>
      <c r="CN22" s="438">
        <f t="shared" ref="CN22:CQ22" ca="1" si="43">CN19+CN20+CN21</f>
        <v>2.9325115250788444E-2</v>
      </c>
      <c r="CO22" s="438">
        <f t="shared" ca="1" si="43"/>
        <v>2.9647762952390477E-2</v>
      </c>
      <c r="CP22" s="438">
        <f t="shared" ca="1" si="43"/>
        <v>2.9687240418254546E-2</v>
      </c>
      <c r="CQ22" s="438">
        <f t="shared" ca="1" si="43"/>
        <v>2.9379151148992109E-2</v>
      </c>
    </row>
    <row r="23" spans="1:95" s="424" customFormat="1" ht="10.199999999999999">
      <c r="A23" s="424" t="s">
        <v>388</v>
      </c>
      <c r="B23" s="436"/>
      <c r="C23" s="436" t="e">
        <f>Summary!C131/Summary!C137</f>
        <v>#DIV/0!</v>
      </c>
      <c r="D23" s="436" t="e">
        <f>Summary!D131/Summary!D137</f>
        <v>#DIV/0!</v>
      </c>
      <c r="E23" s="436" t="e">
        <f>Summary!E131/Summary!E137</f>
        <v>#DIV/0!</v>
      </c>
      <c r="F23" s="436" t="e">
        <f>Summary!F131/Summary!F137</f>
        <v>#DIV/0!</v>
      </c>
      <c r="G23" s="436" t="e">
        <f>Summary!G131/Summary!G137</f>
        <v>#DIV/0!</v>
      </c>
      <c r="H23" s="436" t="e">
        <f>Summary!H131/Summary!H137</f>
        <v>#DIV/0!</v>
      </c>
      <c r="I23" s="436">
        <f>Summary!I131/Summary!I137</f>
        <v>4.7923698178725909</v>
      </c>
      <c r="J23" s="436">
        <f>Summary!J131/Summary!J137</f>
        <v>9.8776563239709532</v>
      </c>
      <c r="K23" s="436">
        <f>Summary!K131/Summary!K137</f>
        <v>9.6075320909460409</v>
      </c>
      <c r="L23" s="437">
        <f>Summary!L131/Summary!L137</f>
        <v>9.5428536722626944</v>
      </c>
      <c r="M23" s="437">
        <f>Summary!M131/Summary!M137</f>
        <v>9.7715510781629238</v>
      </c>
      <c r="N23" s="437">
        <f>Summary!N131/Summary!N137</f>
        <v>9.6856067999965063</v>
      </c>
      <c r="O23" s="436">
        <f>Summary!O131/Summary!O137</f>
        <v>9.6704615499077153</v>
      </c>
      <c r="P23" s="435">
        <f ca="1">Summary!P131/Summary!P137</f>
        <v>9.3819397927760289</v>
      </c>
      <c r="Q23" s="435">
        <f ca="1">Summary!Q131/Summary!Q137</f>
        <v>8.8107143348563888</v>
      </c>
      <c r="R23" s="435">
        <f ca="1">Summary!R131/Summary!R137</f>
        <v>8.1860999772230656</v>
      </c>
      <c r="S23" s="435">
        <f ca="1">Summary!S131/Summary!S137</f>
        <v>7.6170190767109975</v>
      </c>
      <c r="T23" s="435">
        <f ca="1">Summary!T131/Summary!T137</f>
        <v>7.1353995597906206</v>
      </c>
      <c r="U23" s="435">
        <f ca="1">Summary!U131/Summary!U137</f>
        <v>6.7268910888122928</v>
      </c>
      <c r="W23" s="424" t="s">
        <v>388</v>
      </c>
      <c r="X23" s="436" t="e">
        <f>Summary!X131/Summary!X137</f>
        <v>#DIV/0!</v>
      </c>
      <c r="Y23" s="436" t="e">
        <f>Summary!Y131/Summary!Y137</f>
        <v>#DIV/0!</v>
      </c>
      <c r="Z23" s="436" t="e">
        <f>Summary!Z131/Summary!Z137</f>
        <v>#DIV/0!</v>
      </c>
      <c r="AA23" s="436" t="e">
        <f>Summary!AA131/Summary!AA137</f>
        <v>#DIV/0!</v>
      </c>
      <c r="AB23" s="436" t="e">
        <f>Summary!AB131/Summary!AB137</f>
        <v>#DIV/0!</v>
      </c>
      <c r="AC23" s="436" t="e">
        <f>Summary!AC131/Summary!AC137</f>
        <v>#DIV/0!</v>
      </c>
      <c r="AD23" s="436" t="e">
        <f>Summary!AD131/Summary!AD137</f>
        <v>#DIV/0!</v>
      </c>
      <c r="AE23" s="436" t="e">
        <f>Summary!AE131/Summary!AE137</f>
        <v>#DIV/0!</v>
      </c>
      <c r="AF23" s="436" t="e">
        <f>Summary!AF131/Summary!AF137</f>
        <v>#DIV/0!</v>
      </c>
      <c r="AG23" s="436" t="e">
        <f>Summary!AG131/Summary!AG137</f>
        <v>#DIV/0!</v>
      </c>
      <c r="AH23" s="436" t="e">
        <f>Summary!AH131/Summary!AH137</f>
        <v>#DIV/0!</v>
      </c>
      <c r="AI23" s="436" t="e">
        <f>Summary!AI131/Summary!AI137</f>
        <v>#DIV/0!</v>
      </c>
      <c r="AJ23" s="436" t="e">
        <f>Summary!AJ131/Summary!AJ137</f>
        <v>#DIV/0!</v>
      </c>
      <c r="AK23" s="436" t="e">
        <f>Summary!AK131/Summary!AK137</f>
        <v>#DIV/0!</v>
      </c>
      <c r="AL23" s="436" t="e">
        <f>Summary!AL131/Summary!AL137</f>
        <v>#DIV/0!</v>
      </c>
      <c r="AM23" s="436" t="e">
        <f>Summary!AM131/Summary!AM137</f>
        <v>#DIV/0!</v>
      </c>
      <c r="AN23" s="436" t="e">
        <f>Summary!AN131/Summary!AN137</f>
        <v>#DIV/0!</v>
      </c>
      <c r="AO23" s="436" t="e">
        <f>Summary!AO131/Summary!AO137</f>
        <v>#DIV/0!</v>
      </c>
      <c r="AP23" s="436" t="e">
        <f>Summary!AP131/Summary!AP137</f>
        <v>#DIV/0!</v>
      </c>
      <c r="AQ23" s="436" t="e">
        <f>Summary!AQ131/Summary!AQ137</f>
        <v>#DIV/0!</v>
      </c>
      <c r="AR23" s="436">
        <f>Summary!AR131/Summary!AR137</f>
        <v>12.632415936141399</v>
      </c>
      <c r="AS23" s="436">
        <f>Summary!AS131/Summary!AS137</f>
        <v>11.677999297751523</v>
      </c>
      <c r="AT23" s="436">
        <f>Summary!AT131/Summary!AT137</f>
        <v>10.267964963577795</v>
      </c>
      <c r="AU23" s="436">
        <f>Summary!AU131/Summary!AU137</f>
        <v>9.6648175188395307</v>
      </c>
      <c r="AV23" s="436">
        <f>Summary!AV131/Summary!AV137</f>
        <v>9.9266467300383017</v>
      </c>
      <c r="AW23" s="436">
        <f>Summary!AW131/Summary!AW137</f>
        <v>10.029237850443399</v>
      </c>
      <c r="AX23" s="436">
        <f>Summary!AX131/Summary!AX137</f>
        <v>9.8446155129265449</v>
      </c>
      <c r="AY23" s="436">
        <f>Summary!AY131/Summary!AY137</f>
        <v>10.011276399858589</v>
      </c>
      <c r="AZ23" s="436">
        <f>Summary!AZ131/Summary!AZ137</f>
        <v>10.299681178139119</v>
      </c>
      <c r="BA23" s="436">
        <f>Summary!BA131/Summary!BA137</f>
        <v>10.232729233503065</v>
      </c>
      <c r="BB23" s="436">
        <f>Summary!BB131/Summary!BB137</f>
        <v>9.7890369119127048</v>
      </c>
      <c r="BC23" s="436">
        <f>Summary!BC131/Summary!BC137</f>
        <v>9.3672119665208857</v>
      </c>
      <c r="BD23" s="437">
        <f>Summary!BD131/Summary!BD137</f>
        <v>9.4716903398247592</v>
      </c>
      <c r="BE23" s="437">
        <f>Summary!BE131/Summary!BE137</f>
        <v>9.6582210936539994</v>
      </c>
      <c r="BF23" s="437">
        <f>Summary!BF131/Summary!BF137</f>
        <v>9.4739529066291421</v>
      </c>
      <c r="BG23" s="437">
        <f>Summary!BG131/Summary!BG137</f>
        <v>9.642040824127319</v>
      </c>
      <c r="BH23" s="436">
        <f>Summary!BH131/Summary!BH137</f>
        <v>10.09575132440794</v>
      </c>
      <c r="BI23" s="436">
        <f>Summary!BI131/Summary!BI137</f>
        <v>10.287514036846645</v>
      </c>
      <c r="BJ23" s="436">
        <f>Summary!BJ131/Summary!BJ137</f>
        <v>10.036654534300759</v>
      </c>
      <c r="BK23" s="436">
        <f>Summary!BK131/Summary!BK137</f>
        <v>9.7529214890492746</v>
      </c>
      <c r="BL23" s="436">
        <f>Summary!BL131/Summary!BL137</f>
        <v>10.027845211294116</v>
      </c>
      <c r="BM23" s="436">
        <f>Summary!BM131/Summary!BM137</f>
        <v>10.141400149031238</v>
      </c>
      <c r="BN23" s="436">
        <f>Summary!BN131/Summary!BN137</f>
        <v>9.9077570515920588</v>
      </c>
      <c r="BO23" s="436">
        <f>Summary!BO131/Summary!BO137</f>
        <v>9.7871898179079366</v>
      </c>
      <c r="BP23" s="436">
        <f>Summary!BP131/Summary!BP137</f>
        <v>9.8029389875171464</v>
      </c>
      <c r="BQ23" s="436">
        <f>Summary!BQ131/Summary!BQ137</f>
        <v>9.7928694676360291</v>
      </c>
      <c r="BR23" s="436">
        <f>Summary!BR131/Summary!BR137</f>
        <v>9.882246541480189</v>
      </c>
      <c r="BS23" s="436">
        <f>Summary!BS131/Summary!BS137</f>
        <v>9.862273129793623</v>
      </c>
      <c r="BT23" s="435">
        <f ca="1">Summary!BT131/Summary!BT137</f>
        <v>9.9700083957802956</v>
      </c>
      <c r="BU23" s="435">
        <f ca="1">Summary!BU131/Summary!BU137</f>
        <v>9.9942594001140428</v>
      </c>
      <c r="BV23" s="435">
        <f ca="1">Summary!BV131/Summary!BV137</f>
        <v>9.6758683119731259</v>
      </c>
      <c r="BW23" s="435">
        <f ca="1">Summary!BW131/Summary!BW137</f>
        <v>9.3863733384590695</v>
      </c>
      <c r="BX23" s="435">
        <f ca="1">Summary!BX131/Summary!BX137</f>
        <v>9.315900864971443</v>
      </c>
      <c r="BY23" s="435">
        <f ca="1">Summary!BY131/Summary!BY137</f>
        <v>9.2459907042630984</v>
      </c>
      <c r="BZ23" s="435">
        <f ca="1">Summary!BZ131/Summary!BZ137</f>
        <v>8.9738925744605371</v>
      </c>
      <c r="CA23" s="435">
        <f ca="1">Summary!CA131/Summary!CA137</f>
        <v>8.7198755341156389</v>
      </c>
      <c r="CB23" s="435">
        <f ca="1">Summary!CB131/Summary!CB137</f>
        <v>8.6606003946972834</v>
      </c>
      <c r="CC23" s="435">
        <f ca="1">Summary!CC131/Summary!CC137</f>
        <v>8.5913054855608273</v>
      </c>
      <c r="CD23" s="435">
        <f ca="1">Summary!CD131/Summary!CD137</f>
        <v>8.3256502878228265</v>
      </c>
      <c r="CE23" s="435">
        <f ca="1">Summary!CE131/Summary!CE137</f>
        <v>8.0753144461632989</v>
      </c>
      <c r="CF23" s="435">
        <f ca="1">Summary!CF131/Summary!CF137</f>
        <v>8.0151245047865505</v>
      </c>
      <c r="CG23" s="435">
        <f ca="1">Summary!CG131/Summary!CG137</f>
        <v>7.9589992352730743</v>
      </c>
      <c r="CH23" s="435">
        <f ca="1">Summary!CH131/Summary!CH137</f>
        <v>7.7262124778724139</v>
      </c>
      <c r="CI23" s="435">
        <f ca="1">Summary!CI131/Summary!CI137</f>
        <v>7.5134232924384561</v>
      </c>
      <c r="CJ23" s="435">
        <f ca="1">Summary!CJ131/Summary!CJ137</f>
        <v>7.4721770074009495</v>
      </c>
      <c r="CK23" s="435">
        <f ca="1">Summary!CK131/Summary!CK137</f>
        <v>7.4299733619663701</v>
      </c>
      <c r="CL23" s="435">
        <f ca="1">Summary!CL131/Summary!CL137</f>
        <v>7.218317930881887</v>
      </c>
      <c r="CM23" s="435">
        <f ca="1">Summary!CM131/Summary!CM137</f>
        <v>7.0338076646537253</v>
      </c>
      <c r="CN23" s="435">
        <f ca="1">Summary!CN131/Summary!CN137</f>
        <v>7.0040158652039635</v>
      </c>
      <c r="CO23" s="435">
        <f ca="1">Summary!CO131/Summary!CO137</f>
        <v>6.975000515961117</v>
      </c>
      <c r="CP23" s="435">
        <f ca="1">Summary!CP131/Summary!CP137</f>
        <v>6.7887884820225359</v>
      </c>
      <c r="CQ23" s="435">
        <f ca="1">Summary!CQ131/Summary!CQ137</f>
        <v>6.6265159863084806</v>
      </c>
    </row>
    <row r="24" spans="1:95" s="430" customFormat="1" ht="10.199999999999999">
      <c r="A24" s="434" t="s">
        <v>345</v>
      </c>
      <c r="B24" s="432"/>
      <c r="C24" s="432" t="e">
        <f t="shared" ref="C24:S24" si="44">C22*C23</f>
        <v>#DIV/0!</v>
      </c>
      <c r="D24" s="432" t="e">
        <f t="shared" si="44"/>
        <v>#DIV/0!</v>
      </c>
      <c r="E24" s="432" t="e">
        <f t="shared" si="44"/>
        <v>#DIV/0!</v>
      </c>
      <c r="F24" s="432" t="e">
        <f t="shared" si="44"/>
        <v>#DIV/0!</v>
      </c>
      <c r="G24" s="432" t="e">
        <f t="shared" si="44"/>
        <v>#DIV/0!</v>
      </c>
      <c r="H24" s="432" t="e">
        <f t="shared" si="44"/>
        <v>#DIV/0!</v>
      </c>
      <c r="I24" s="432">
        <f t="shared" si="44"/>
        <v>0.21105721728204929</v>
      </c>
      <c r="J24" s="432">
        <f t="shared" si="44"/>
        <v>0.22151182007315923</v>
      </c>
      <c r="K24" s="432">
        <f t="shared" si="44"/>
        <v>0.2321506457919566</v>
      </c>
      <c r="L24" s="433">
        <f t="shared" si="44"/>
        <v>0.21085795135234806</v>
      </c>
      <c r="M24" s="433">
        <f t="shared" si="44"/>
        <v>0.13701872902366946</v>
      </c>
      <c r="N24" s="433">
        <f t="shared" si="44"/>
        <v>0.18771353649282346</v>
      </c>
      <c r="O24" s="432">
        <f t="shared" si="44"/>
        <v>0.20405414337372096</v>
      </c>
      <c r="P24" s="431">
        <f t="shared" ca="1" si="44"/>
        <v>0.20104304462674666</v>
      </c>
      <c r="Q24" s="431">
        <f t="shared" ca="1" si="44"/>
        <v>0.20331011607812657</v>
      </c>
      <c r="R24" s="431">
        <f t="shared" ca="1" si="44"/>
        <v>0.20529914962477885</v>
      </c>
      <c r="S24" s="431">
        <f t="shared" ca="1" si="44"/>
        <v>0.20126043596657467</v>
      </c>
      <c r="T24" s="431">
        <f t="shared" ref="T24:U24" ca="1" si="45">T22*T23</f>
        <v>0.19959482342829371</v>
      </c>
      <c r="U24" s="431">
        <f t="shared" ca="1" si="45"/>
        <v>0.19833695063905124</v>
      </c>
      <c r="W24" s="434" t="s">
        <v>345</v>
      </c>
      <c r="X24" s="432" t="e">
        <f t="shared" ref="X24:BC24" si="46">X22*X23</f>
        <v>#DIV/0!</v>
      </c>
      <c r="Y24" s="432" t="e">
        <f t="shared" si="46"/>
        <v>#DIV/0!</v>
      </c>
      <c r="Z24" s="432" t="e">
        <f t="shared" si="46"/>
        <v>#DIV/0!</v>
      </c>
      <c r="AA24" s="432" t="e">
        <f t="shared" si="46"/>
        <v>#DIV/0!</v>
      </c>
      <c r="AB24" s="432" t="e">
        <f t="shared" si="46"/>
        <v>#DIV/0!</v>
      </c>
      <c r="AC24" s="432" t="e">
        <f t="shared" si="46"/>
        <v>#DIV/0!</v>
      </c>
      <c r="AD24" s="432" t="e">
        <f t="shared" si="46"/>
        <v>#DIV/0!</v>
      </c>
      <c r="AE24" s="432" t="e">
        <f t="shared" si="46"/>
        <v>#DIV/0!</v>
      </c>
      <c r="AF24" s="432" t="e">
        <f t="shared" si="46"/>
        <v>#DIV/0!</v>
      </c>
      <c r="AG24" s="432" t="e">
        <f t="shared" si="46"/>
        <v>#DIV/0!</v>
      </c>
      <c r="AH24" s="432" t="e">
        <f t="shared" si="46"/>
        <v>#DIV/0!</v>
      </c>
      <c r="AI24" s="432" t="e">
        <f t="shared" si="46"/>
        <v>#DIV/0!</v>
      </c>
      <c r="AJ24" s="432" t="e">
        <f t="shared" si="46"/>
        <v>#DIV/0!</v>
      </c>
      <c r="AK24" s="432" t="e">
        <f t="shared" si="46"/>
        <v>#DIV/0!</v>
      </c>
      <c r="AL24" s="432" t="e">
        <f t="shared" si="46"/>
        <v>#DIV/0!</v>
      </c>
      <c r="AM24" s="432" t="e">
        <f t="shared" si="46"/>
        <v>#DIV/0!</v>
      </c>
      <c r="AN24" s="432" t="e">
        <f t="shared" si="46"/>
        <v>#DIV/0!</v>
      </c>
      <c r="AO24" s="432" t="e">
        <f t="shared" si="46"/>
        <v>#DIV/0!</v>
      </c>
      <c r="AP24" s="432" t="e">
        <f t="shared" si="46"/>
        <v>#DIV/0!</v>
      </c>
      <c r="AQ24" s="432" t="e">
        <f t="shared" si="46"/>
        <v>#DIV/0!</v>
      </c>
      <c r="AR24" s="432">
        <f t="shared" si="46"/>
        <v>0.53620623258093048</v>
      </c>
      <c r="AS24" s="432">
        <f t="shared" si="46"/>
        <v>0.2492089376949865</v>
      </c>
      <c r="AT24" s="432">
        <f t="shared" si="46"/>
        <v>0.23876078254296532</v>
      </c>
      <c r="AU24" s="432">
        <f t="shared" si="46"/>
        <v>0.22056995713998642</v>
      </c>
      <c r="AV24" s="432">
        <f t="shared" si="46"/>
        <v>0.21434683778875468</v>
      </c>
      <c r="AW24" s="432">
        <f t="shared" si="46"/>
        <v>0.27529395152324376</v>
      </c>
      <c r="AX24" s="432">
        <f t="shared" si="46"/>
        <v>0.24359560852416323</v>
      </c>
      <c r="AY24" s="432">
        <f t="shared" si="46"/>
        <v>0.18893576277379395</v>
      </c>
      <c r="AZ24" s="432">
        <f t="shared" si="46"/>
        <v>0.24759778486755721</v>
      </c>
      <c r="BA24" s="432">
        <f t="shared" si="46"/>
        <v>0.24139023727214873</v>
      </c>
      <c r="BB24" s="432">
        <f t="shared" si="46"/>
        <v>0.22391587746648647</v>
      </c>
      <c r="BC24" s="432">
        <f t="shared" si="46"/>
        <v>0.24167958213953933</v>
      </c>
      <c r="BD24" s="433">
        <f t="shared" ref="BD24:CI24" si="47">BD22*BD23</f>
        <v>0.2199789452939504</v>
      </c>
      <c r="BE24" s="433">
        <f t="shared" si="47"/>
        <v>0.19402702796229407</v>
      </c>
      <c r="BF24" s="433">
        <f t="shared" si="47"/>
        <v>0.23524138686113882</v>
      </c>
      <c r="BG24" s="433">
        <f t="shared" si="47"/>
        <v>0.19569864193869813</v>
      </c>
      <c r="BH24" s="432">
        <f t="shared" si="47"/>
        <v>0.17625759599602095</v>
      </c>
      <c r="BI24" s="432">
        <f t="shared" ref="BI24" si="48">BI22*BI23</f>
        <v>5.442447142491981E-2</v>
      </c>
      <c r="BJ24" s="432">
        <f t="shared" si="47"/>
        <v>0.18066756567490647</v>
      </c>
      <c r="BK24" s="432">
        <f t="shared" si="47"/>
        <v>0.14558552266884314</v>
      </c>
      <c r="BL24" s="432">
        <f t="shared" ref="BL24" si="49">BL22*BL23</f>
        <v>0.20281449442265906</v>
      </c>
      <c r="BM24" s="432">
        <f t="shared" si="47"/>
        <v>0.18887282428244911</v>
      </c>
      <c r="BN24" s="432">
        <f t="shared" ref="BN24:BO24" si="50">BN22*BN23</f>
        <v>0.19691840475910183</v>
      </c>
      <c r="BO24" s="432">
        <f t="shared" si="50"/>
        <v>0.17210151924328343</v>
      </c>
      <c r="BP24" s="432">
        <f t="shared" si="47"/>
        <v>0.228399020739571</v>
      </c>
      <c r="BQ24" s="432">
        <f t="shared" ref="BQ24:BR24" si="51">BQ22*BQ23</f>
        <v>0.2066219708897675</v>
      </c>
      <c r="BR24" s="432">
        <f t="shared" si="51"/>
        <v>0.19980182904388538</v>
      </c>
      <c r="BS24" s="432">
        <f t="shared" ref="BS24" si="52">BS22*BS23</f>
        <v>0.19681172121321025</v>
      </c>
      <c r="BT24" s="431">
        <f t="shared" ca="1" si="47"/>
        <v>0.20392609550046623</v>
      </c>
      <c r="BU24" s="431">
        <f t="shared" ca="1" si="47"/>
        <v>0.20511424870943401</v>
      </c>
      <c r="BV24" s="431">
        <f t="shared" ca="1" si="47"/>
        <v>0.20787505036984222</v>
      </c>
      <c r="BW24" s="431">
        <f t="shared" ca="1" si="47"/>
        <v>0.20315211570492986</v>
      </c>
      <c r="BX24" s="431">
        <f t="shared" ca="1" si="47"/>
        <v>0.21197265120099057</v>
      </c>
      <c r="BY24" s="431">
        <f t="shared" ca="1" si="47"/>
        <v>0.2122295319275869</v>
      </c>
      <c r="BZ24" s="431">
        <f t="shared" ca="1" si="47"/>
        <v>0.20572157221473969</v>
      </c>
      <c r="CA24" s="431">
        <f t="shared" ca="1" si="47"/>
        <v>0.19890792117731018</v>
      </c>
      <c r="CB24" s="431">
        <f t="shared" ca="1" si="47"/>
        <v>0.20898754805017852</v>
      </c>
      <c r="CC24" s="431">
        <f t="shared" ca="1" si="47"/>
        <v>0.21348092577990135</v>
      </c>
      <c r="CD24" s="431">
        <f t="shared" ca="1" si="47"/>
        <v>0.20983743761681528</v>
      </c>
      <c r="CE24" s="431">
        <f t="shared" ca="1" si="47"/>
        <v>0.20492141472642622</v>
      </c>
      <c r="CF24" s="431">
        <f t="shared" ca="1" si="47"/>
        <v>0.21137926811043597</v>
      </c>
      <c r="CG24" s="431">
        <f t="shared" ca="1" si="47"/>
        <v>0.20969034534776759</v>
      </c>
      <c r="CH24" s="431">
        <f t="shared" ca="1" si="47"/>
        <v>0.20367665845157312</v>
      </c>
      <c r="CI24" s="431">
        <f t="shared" ca="1" si="47"/>
        <v>0.19590747059478744</v>
      </c>
      <c r="CJ24" s="431">
        <f t="shared" ref="CJ24:CM24" ca="1" si="53">CJ22*CJ23</f>
        <v>0.20606378023814778</v>
      </c>
      <c r="CK24" s="431">
        <f t="shared" ca="1" si="53"/>
        <v>0.2079018359921454</v>
      </c>
      <c r="CL24" s="431">
        <f t="shared" ca="1" si="53"/>
        <v>0.20360244716721979</v>
      </c>
      <c r="CM24" s="431">
        <f t="shared" ca="1" si="53"/>
        <v>0.19610917839419012</v>
      </c>
      <c r="CN24" s="431">
        <f t="shared" ref="CN24:CQ24" ca="1" si="54">CN22*CN23</f>
        <v>0.20539357246545697</v>
      </c>
      <c r="CO24" s="431">
        <f t="shared" ca="1" si="54"/>
        <v>0.20679316189001645</v>
      </c>
      <c r="CP24" s="431">
        <f t="shared" ca="1" si="54"/>
        <v>0.20154039581448036</v>
      </c>
      <c r="CQ24" s="431">
        <f t="shared" ca="1" si="54"/>
        <v>0.19468141475296938</v>
      </c>
    </row>
    <row r="25" spans="1:95" s="428" customFormat="1" ht="10.199999999999999">
      <c r="A25" s="428" t="s">
        <v>387</v>
      </c>
      <c r="B25" s="429"/>
      <c r="C25" s="429">
        <f>Summary!C132</f>
        <v>0</v>
      </c>
      <c r="D25" s="429" t="e">
        <f>Summary!D132</f>
        <v>#DIV/0!</v>
      </c>
      <c r="E25" s="429" t="e">
        <f>Summary!E132</f>
        <v>#DIV/0!</v>
      </c>
      <c r="F25" s="429" t="e">
        <f>Summary!F132</f>
        <v>#DIV/0!</v>
      </c>
      <c r="G25" s="429" t="e">
        <f>Summary!G132</f>
        <v>#DIV/0!</v>
      </c>
      <c r="H25" s="429" t="e">
        <f>Summary!H132</f>
        <v>#DIV/0!</v>
      </c>
      <c r="I25" s="429" t="e">
        <f>Summary!I132</f>
        <v>#DIV/0!</v>
      </c>
      <c r="J25" s="429">
        <f>Summary!J132</f>
        <v>1.2486946534770627</v>
      </c>
      <c r="K25" s="429">
        <f>Summary!K132</f>
        <v>0.1344265757744425</v>
      </c>
      <c r="L25" s="318">
        <f>Summary!L132</f>
        <v>0.15314312228468085</v>
      </c>
      <c r="M25" s="318">
        <f>Summary!M132</f>
        <v>0.16568073687266271</v>
      </c>
      <c r="N25" s="318">
        <f>Summary!N132</f>
        <v>0.13909812192905457</v>
      </c>
      <c r="O25" s="429">
        <f>Summary!O132</f>
        <v>0.16463638645477263</v>
      </c>
      <c r="P25" s="317">
        <f>Summary!P132</f>
        <v>0.12786174150364493</v>
      </c>
      <c r="Q25" s="317">
        <f>Summary!Q132</f>
        <v>0.10110597417156364</v>
      </c>
      <c r="R25" s="317">
        <f>Summary!R132</f>
        <v>9.2137390099442218E-2</v>
      </c>
      <c r="S25" s="317">
        <f>Summary!S132</f>
        <v>9.187582854230425E-2</v>
      </c>
      <c r="T25" s="317">
        <f>Summary!T132</f>
        <v>9.6402978646544568E-2</v>
      </c>
      <c r="U25" s="317">
        <f>Summary!U132</f>
        <v>0.1023680203655859</v>
      </c>
      <c r="W25" s="428" t="s">
        <v>387</v>
      </c>
      <c r="X25" s="429">
        <f>Summary!X132</f>
        <v>0</v>
      </c>
      <c r="Y25" s="429">
        <f>Summary!Y132</f>
        <v>0</v>
      </c>
      <c r="Z25" s="429" t="e">
        <f>Summary!Z132</f>
        <v>#DIV/0!</v>
      </c>
      <c r="AA25" s="429" t="e">
        <f>Summary!AA132</f>
        <v>#DIV/0!</v>
      </c>
      <c r="AB25" s="429" t="e">
        <f>Summary!AB132</f>
        <v>#DIV/0!</v>
      </c>
      <c r="AC25" s="429" t="e">
        <f>Summary!AC132</f>
        <v>#DIV/0!</v>
      </c>
      <c r="AD25" s="429" t="e">
        <f>Summary!AD132</f>
        <v>#DIV/0!</v>
      </c>
      <c r="AE25" s="429" t="e">
        <f>Summary!AE132</f>
        <v>#DIV/0!</v>
      </c>
      <c r="AF25" s="429" t="e">
        <f>Summary!AF132</f>
        <v>#DIV/0!</v>
      </c>
      <c r="AG25" s="429" t="e">
        <f>Summary!AG132</f>
        <v>#DIV/0!</v>
      </c>
      <c r="AH25" s="429" t="e">
        <f>Summary!AH132</f>
        <v>#DIV/0!</v>
      </c>
      <c r="AI25" s="429" t="e">
        <f>Summary!AI132</f>
        <v>#DIV/0!</v>
      </c>
      <c r="AJ25" s="429" t="e">
        <f>Summary!AJ132</f>
        <v>#DIV/0!</v>
      </c>
      <c r="AK25" s="429" t="e">
        <f>Summary!AK132</f>
        <v>#DIV/0!</v>
      </c>
      <c r="AL25" s="429" t="e">
        <f>Summary!AL132</f>
        <v>#DIV/0!</v>
      </c>
      <c r="AM25" s="429" t="e">
        <f>Summary!AM132</f>
        <v>#DIV/0!</v>
      </c>
      <c r="AN25" s="429" t="e">
        <f>Summary!AN132</f>
        <v>#DIV/0!</v>
      </c>
      <c r="AO25" s="429" t="e">
        <f>Summary!AO132</f>
        <v>#DIV/0!</v>
      </c>
      <c r="AP25" s="429" t="e">
        <f>Summary!AP132</f>
        <v>#DIV/0!</v>
      </c>
      <c r="AQ25" s="429" t="e">
        <f>Summary!AQ132</f>
        <v>#DIV/0!</v>
      </c>
      <c r="AR25" s="429" t="e">
        <f>Summary!AR132</f>
        <v>#DIV/0!</v>
      </c>
      <c r="AS25" s="429">
        <f>Summary!AS132</f>
        <v>0.9444030965127812</v>
      </c>
      <c r="AT25" s="429">
        <f>Summary!AT132</f>
        <v>-5.1739538808937335E-2</v>
      </c>
      <c r="AU25" s="429">
        <f>Summary!AU132</f>
        <v>8.935922123716411E-3</v>
      </c>
      <c r="AV25" s="429">
        <f>Summary!AV132</f>
        <v>5.4903151148851137E-2</v>
      </c>
      <c r="AW25" s="429">
        <f>Summary!AW132</f>
        <v>2.5545988386141305E-2</v>
      </c>
      <c r="AX25" s="429">
        <f>Summary!AX132</f>
        <v>5.5377623580028734E-2</v>
      </c>
      <c r="AY25" s="429">
        <f>Summary!AY132</f>
        <v>8.8905064837901726E-2</v>
      </c>
      <c r="AZ25" s="429">
        <f>Summary!AZ132</f>
        <v>5.2725177698781378E-2</v>
      </c>
      <c r="BA25" s="429">
        <f>Summary!BA132</f>
        <v>9.9300269582482947E-3</v>
      </c>
      <c r="BB25" s="429">
        <f>Summary!BB132</f>
        <v>-1.2373614625227347E-4</v>
      </c>
      <c r="BC25" s="429">
        <f>Summary!BC132</f>
        <v>1.1110126986468405E-2</v>
      </c>
      <c r="BD25" s="318">
        <f>Summary!BD132</f>
        <v>5.3571658541947009E-2</v>
      </c>
      <c r="BE25" s="318">
        <f>Summary!BE132</f>
        <v>5.9292508868545202E-2</v>
      </c>
      <c r="BF25" s="318">
        <f>Summary!BF132</f>
        <v>3.7008049086427297E-2</v>
      </c>
      <c r="BG25" s="318">
        <f>Summary!BG132</f>
        <v>5.8598177735319279E-2</v>
      </c>
      <c r="BH25" s="429">
        <f>Summary!BH132</f>
        <v>5.9758789147978497E-2</v>
      </c>
      <c r="BI25" s="429">
        <f>Summary!BI132</f>
        <v>2.7612533980092113E-2</v>
      </c>
      <c r="BJ25" s="429">
        <f>Summary!BJ132</f>
        <v>7.9147387275582126E-3</v>
      </c>
      <c r="BK25" s="429">
        <f>Summary!BK132</f>
        <v>1.6539643100748735E-2</v>
      </c>
      <c r="BL25" s="429">
        <f>Summary!BL132</f>
        <v>5.387247507050219E-2</v>
      </c>
      <c r="BM25" s="429">
        <f>Summary!BM132</f>
        <v>5.2809061224492693E-2</v>
      </c>
      <c r="BN25" s="429">
        <f>Summary!BN132</f>
        <v>3.4404526958403903E-2</v>
      </c>
      <c r="BO25" s="429">
        <f>Summary!BO132</f>
        <v>3.198668041332775E-2</v>
      </c>
      <c r="BP25" s="429">
        <f>Summary!BP132</f>
        <v>3.0621761752147814E-2</v>
      </c>
      <c r="BQ25" s="429">
        <f>Summary!BQ132</f>
        <v>2.8185199615291534E-2</v>
      </c>
      <c r="BR25" s="429">
        <f>Summary!BR132</f>
        <v>4.2022700010396985E-2</v>
      </c>
      <c r="BS25" s="429">
        <f>Summary!BS132</f>
        <v>4.2096395251142837E-2</v>
      </c>
      <c r="BT25" s="317">
        <f>Summary!BT132</f>
        <v>4.4055695772165393E-2</v>
      </c>
      <c r="BU25" s="317">
        <f>Summary!BU132</f>
        <v>3.041662511515697E-2</v>
      </c>
      <c r="BV25" s="317">
        <f>Summary!BV132</f>
        <v>1.9454990656128102E-2</v>
      </c>
      <c r="BW25" s="317">
        <f>Summary!BW132</f>
        <v>2.1220561234046809E-2</v>
      </c>
      <c r="BX25" s="317">
        <f>Summary!BX132</f>
        <v>2.1034321283144308E-2</v>
      </c>
      <c r="BY25" s="317">
        <f>Summary!BY132</f>
        <v>2.2876785934475174E-2</v>
      </c>
      <c r="BZ25" s="317">
        <f>Summary!BZ132</f>
        <v>2.2615986238515129E-2</v>
      </c>
      <c r="CA25" s="317">
        <f>Summary!CA132</f>
        <v>2.2093890711076813E-2</v>
      </c>
      <c r="CB25" s="317">
        <f>Summary!CB132</f>
        <v>2.0611169743344648E-2</v>
      </c>
      <c r="CC25" s="317">
        <f>Summary!CC132</f>
        <v>2.190683749218314E-2</v>
      </c>
      <c r="CD25" s="317">
        <f>Summary!CD132</f>
        <v>2.1738446256336141E-2</v>
      </c>
      <c r="CE25" s="317">
        <f>Summary!CE132</f>
        <v>2.1539907808917347E-2</v>
      </c>
      <c r="CF25" s="317">
        <f>Summary!CF132</f>
        <v>2.0776605741842147E-2</v>
      </c>
      <c r="CG25" s="317">
        <f>Summary!CG132</f>
        <v>2.2528952514976996E-2</v>
      </c>
      <c r="CH25" s="317">
        <f>Summary!CH132</f>
        <v>2.2221752981628429E-2</v>
      </c>
      <c r="CI25" s="317">
        <f>Summary!CI132</f>
        <v>2.2250505755472494E-2</v>
      </c>
      <c r="CJ25" s="317">
        <f>Summary!CJ132</f>
        <v>2.1413136936952792E-2</v>
      </c>
      <c r="CK25" s="317">
        <f>Summary!CK132</f>
        <v>2.3429799111083005E-2</v>
      </c>
      <c r="CL25" s="317">
        <f>Summary!CL132</f>
        <v>2.2791069192715341E-2</v>
      </c>
      <c r="CM25" s="317">
        <f>Summary!CM132</f>
        <v>2.4348894453350978E-2</v>
      </c>
      <c r="CN25" s="317">
        <f>Summary!CN132</f>
        <v>2.2830248693581856E-2</v>
      </c>
      <c r="CO25" s="317">
        <f>Summary!CO132</f>
        <v>2.4936976483220796E-2</v>
      </c>
      <c r="CP25" s="317">
        <f>Summary!CP132</f>
        <v>2.4265853320513342E-2</v>
      </c>
      <c r="CQ25" s="317">
        <f>Summary!CQ132</f>
        <v>2.5646651838809653E-2</v>
      </c>
    </row>
    <row r="26" spans="1:95" s="424" customFormat="1" ht="10.199999999999999">
      <c r="B26" s="426"/>
      <c r="C26" s="426"/>
      <c r="D26" s="426"/>
      <c r="E26" s="426"/>
      <c r="F26" s="426"/>
      <c r="G26" s="426"/>
      <c r="H26" s="426"/>
      <c r="I26" s="426"/>
      <c r="J26" s="426"/>
      <c r="K26" s="426"/>
      <c r="L26" s="427"/>
      <c r="M26" s="427"/>
      <c r="N26" s="427"/>
      <c r="O26" s="426"/>
      <c r="P26" s="426"/>
      <c r="Q26" s="426"/>
      <c r="R26" s="426"/>
      <c r="S26" s="426"/>
      <c r="T26" s="426"/>
      <c r="U26" s="426"/>
      <c r="BD26" s="425"/>
      <c r="BE26" s="425"/>
      <c r="BF26" s="425"/>
      <c r="BG26" s="425"/>
    </row>
    <row r="27" spans="1:95" s="424" customFormat="1" ht="10.199999999999999">
      <c r="L27" s="425"/>
      <c r="M27" s="425"/>
      <c r="N27" s="425"/>
      <c r="BD27" s="425"/>
      <c r="BE27" s="425"/>
      <c r="BF27" s="425"/>
      <c r="BG27" s="425"/>
    </row>
  </sheetData>
  <pageMargins left="0.75" right="0.75" top="1" bottom="1" header="0.5" footer="0.5"/>
  <pageSetup orientation="portrait" horizontalDpi="1200" verticalDpi="1200" r:id="rId1"/>
  <headerFooter alignWithMargins="0"/>
  <customProperties>
    <customPr name="Qube.Worksheet.Visibility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indexed="25"/>
  </sheetPr>
  <dimension ref="A1:X36"/>
  <sheetViews>
    <sheetView showGridLines="0" tabSelected="1" topLeftCell="A4" zoomScaleNormal="100" workbookViewId="0">
      <selection activeCell="C15" sqref="C15"/>
    </sheetView>
  </sheetViews>
  <sheetFormatPr baseColWidth="10" defaultColWidth="9" defaultRowHeight="13.2"/>
  <cols>
    <col min="1" max="1" width="1.59765625" style="321" customWidth="1"/>
    <col min="2" max="2" width="26.3984375" style="321" customWidth="1"/>
    <col min="3" max="3" width="6.5" style="321" customWidth="1"/>
    <col min="4" max="4" width="1.3984375" style="321" customWidth="1"/>
    <col min="5" max="5" width="29.796875" style="321" customWidth="1"/>
    <col min="6" max="6" width="5.59765625" style="321" customWidth="1"/>
    <col min="7" max="7" width="1.296875" style="321" customWidth="1"/>
    <col min="8" max="8" width="17.59765625" style="321" customWidth="1"/>
    <col min="9" max="13" width="6" style="321" customWidth="1"/>
    <col min="14" max="16" width="9" style="321"/>
    <col min="17" max="17" width="4.8984375" style="321" customWidth="1"/>
    <col min="18" max="16384" width="9" style="321"/>
  </cols>
  <sheetData>
    <row r="1" spans="1:24" ht="42.75" customHeight="1">
      <c r="A1" s="420"/>
      <c r="B1" s="534"/>
      <c r="C1" s="533"/>
      <c r="D1" s="420"/>
      <c r="E1" s="144"/>
      <c r="F1" s="420"/>
      <c r="G1" s="420"/>
      <c r="H1" s="420"/>
      <c r="I1" s="420"/>
      <c r="J1" s="420"/>
      <c r="K1" s="420"/>
      <c r="L1" s="420"/>
      <c r="M1" s="420"/>
    </row>
    <row r="2" spans="1:24">
      <c r="B2" s="532"/>
      <c r="C2" s="531"/>
      <c r="D2" s="528"/>
      <c r="E2" s="530"/>
    </row>
    <row r="3" spans="1:24" ht="22.8">
      <c r="B3" s="140" t="str">
        <f>Summary!A3</f>
        <v>Credicorp, Inc. (BAP)</v>
      </c>
      <c r="C3" s="325"/>
      <c r="D3" s="325"/>
      <c r="E3" s="325"/>
      <c r="F3" s="325"/>
      <c r="G3" s="325"/>
      <c r="H3" s="325"/>
    </row>
    <row r="4" spans="1:24">
      <c r="B4" s="529" t="s">
        <v>443</v>
      </c>
      <c r="C4" s="377"/>
      <c r="D4" s="377"/>
      <c r="E4" s="528"/>
      <c r="F4" s="377"/>
      <c r="G4" s="377"/>
      <c r="H4" s="377"/>
      <c r="I4" s="527"/>
      <c r="J4" s="527"/>
      <c r="K4" s="527"/>
      <c r="L4" s="527"/>
      <c r="M4" s="527"/>
      <c r="R4" s="500"/>
      <c r="S4" s="500"/>
      <c r="T4" s="500"/>
      <c r="U4" s="500"/>
      <c r="V4" s="500"/>
      <c r="W4" s="500"/>
      <c r="X4" s="500"/>
    </row>
    <row r="5" spans="1:24">
      <c r="B5" s="137" t="s">
        <v>274</v>
      </c>
      <c r="C5" s="377"/>
      <c r="D5" s="377"/>
      <c r="E5" s="377"/>
      <c r="F5" s="377"/>
      <c r="G5" s="377"/>
      <c r="H5" s="377"/>
      <c r="I5" s="526"/>
      <c r="J5" s="379"/>
      <c r="K5" s="379"/>
      <c r="L5" s="379"/>
      <c r="M5" s="379"/>
      <c r="R5" s="500"/>
      <c r="S5" s="500"/>
      <c r="T5" s="500"/>
      <c r="U5" s="500"/>
      <c r="V5" s="500"/>
      <c r="W5" s="500"/>
      <c r="X5" s="500"/>
    </row>
    <row r="6" spans="1:24">
      <c r="B6" s="137"/>
      <c r="C6" s="377"/>
      <c r="D6" s="377"/>
      <c r="E6" s="377"/>
      <c r="F6" s="377"/>
      <c r="G6" s="377"/>
      <c r="H6" s="377"/>
      <c r="I6" s="526"/>
      <c r="J6" s="379"/>
      <c r="K6" s="379"/>
      <c r="L6" s="379"/>
      <c r="M6" s="379"/>
    </row>
    <row r="7" spans="1:24">
      <c r="B7" s="467" t="s">
        <v>451</v>
      </c>
      <c r="C7" s="466"/>
      <c r="D7" s="524"/>
      <c r="E7" s="467" t="s">
        <v>442</v>
      </c>
      <c r="F7" s="466"/>
      <c r="G7" s="457"/>
      <c r="H7" s="467" t="s">
        <v>441</v>
      </c>
      <c r="I7" s="480"/>
      <c r="J7" s="480"/>
      <c r="K7" s="480"/>
      <c r="L7" s="480"/>
      <c r="M7" s="466"/>
    </row>
    <row r="8" spans="1:24">
      <c r="B8" s="461" t="s">
        <v>455</v>
      </c>
      <c r="C8" s="525">
        <f ca="1">+F11</f>
        <v>31295.292065887443</v>
      </c>
      <c r="D8" s="570"/>
      <c r="E8" s="461" t="s">
        <v>440</v>
      </c>
      <c r="F8" s="520">
        <f ca="1">SUM(I12:M12)</f>
        <v>4274.4110503614465</v>
      </c>
      <c r="G8" s="513"/>
      <c r="H8" s="461"/>
      <c r="I8" s="487" t="s">
        <v>431</v>
      </c>
      <c r="J8" s="487" t="s">
        <v>431</v>
      </c>
      <c r="K8" s="487" t="s">
        <v>431</v>
      </c>
      <c r="L8" s="487" t="s">
        <v>431</v>
      </c>
      <c r="M8" s="486" t="s">
        <v>431</v>
      </c>
    </row>
    <row r="9" spans="1:24">
      <c r="B9" s="461" t="s">
        <v>439</v>
      </c>
      <c r="C9" s="523">
        <v>0.1</v>
      </c>
      <c r="D9" s="571"/>
      <c r="E9" s="461" t="s">
        <v>438</v>
      </c>
      <c r="F9" s="520">
        <f ca="1">SUM(I18:M18)</f>
        <v>5211.9711526687033</v>
      </c>
      <c r="G9" s="513"/>
      <c r="H9" s="509"/>
      <c r="I9" s="522">
        <v>1</v>
      </c>
      <c r="J9" s="522">
        <v>2</v>
      </c>
      <c r="K9" s="522">
        <v>3</v>
      </c>
      <c r="L9" s="522">
        <v>4</v>
      </c>
      <c r="M9" s="521">
        <v>5</v>
      </c>
    </row>
    <row r="10" spans="1:24">
      <c r="B10" s="485" t="s">
        <v>457</v>
      </c>
      <c r="C10" s="484">
        <f ca="1">ROUND((1+C9)*C8,0)</f>
        <v>34425</v>
      </c>
      <c r="D10" s="572"/>
      <c r="E10" s="461" t="s">
        <v>437</v>
      </c>
      <c r="F10" s="520">
        <f ca="1">+I22</f>
        <v>21808.909862857294</v>
      </c>
      <c r="G10" s="513"/>
      <c r="H10" s="489" t="s">
        <v>454</v>
      </c>
      <c r="I10" s="398">
        <f ca="1">SUM('Income Statement'!DE43:DH43)/1000</f>
        <v>879.59702931139338</v>
      </c>
      <c r="J10" s="398">
        <f ca="1">SUM('Income Statement'!DI43:DL43)/1000</f>
        <v>1042.9520199832079</v>
      </c>
      <c r="K10" s="398">
        <f ca="1">SUM('Income Statement'!DM43:DP43)/1000</f>
        <v>1237.9521078775622</v>
      </c>
      <c r="L10" s="398">
        <f ca="1">SUM('Income Statement'!DQ43:DT43)/1000</f>
        <v>1424.0995699542589</v>
      </c>
      <c r="M10" s="519">
        <f ca="1">SUM('Income Statement'!DU43:DX43)/1000</f>
        <v>1652.9821828938693</v>
      </c>
      <c r="O10" s="500"/>
    </row>
    <row r="11" spans="1:24">
      <c r="B11" s="473"/>
      <c r="C11" s="514"/>
      <c r="D11" s="377"/>
      <c r="E11" s="485" t="s">
        <v>436</v>
      </c>
      <c r="F11" s="518">
        <f ca="1">SUM(F8:F10)</f>
        <v>31295.292065887443</v>
      </c>
      <c r="G11" s="503"/>
      <c r="H11" s="517" t="s">
        <v>435</v>
      </c>
      <c r="I11" s="516"/>
      <c r="J11" s="516">
        <f ca="1">+J10/I10-1</f>
        <v>0.18571571438764356</v>
      </c>
      <c r="K11" s="516">
        <f t="shared" ref="K11" ca="1" si="0">+K10/J10-1</f>
        <v>0.18696937553991577</v>
      </c>
      <c r="L11" s="516">
        <f t="shared" ref="L11" ca="1" si="1">+L10/K10-1</f>
        <v>0.15036725644891202</v>
      </c>
      <c r="M11" s="515">
        <f t="shared" ref="M11" ca="1" si="2">+M10/L10-1</f>
        <v>0.16072093396317921</v>
      </c>
    </row>
    <row r="12" spans="1:24">
      <c r="B12" s="467" t="s">
        <v>452</v>
      </c>
      <c r="C12" s="466"/>
      <c r="D12" s="377"/>
      <c r="E12" s="377"/>
      <c r="F12" s="498"/>
      <c r="G12" s="513"/>
      <c r="H12" s="485" t="s">
        <v>425</v>
      </c>
      <c r="I12" s="492">
        <f ca="1">I10/(1+$F$18)^I9</f>
        <v>781.42989833327567</v>
      </c>
      <c r="J12" s="492">
        <f ca="1">J10/(1+$F$18)^J9</f>
        <v>823.1459945773272</v>
      </c>
      <c r="K12" s="492">
        <f ca="1">K10/(1+$F$18)^K9</f>
        <v>868.00585200367186</v>
      </c>
      <c r="L12" s="492">
        <f ca="1">L10/(1+$F$18)^L9</f>
        <v>887.08540637518217</v>
      </c>
      <c r="M12" s="491">
        <f ca="1">M10/(1+$F$18)^M9</f>
        <v>914.74389907198929</v>
      </c>
    </row>
    <row r="13" spans="1:24">
      <c r="B13" s="509" t="s">
        <v>414</v>
      </c>
      <c r="C13" s="508">
        <f ca="1">ROUND((1+C9)*C8/C19/Summary!BT12,0)</f>
        <v>126</v>
      </c>
      <c r="D13" s="377"/>
      <c r="E13" s="467" t="s">
        <v>434</v>
      </c>
      <c r="F13" s="466"/>
      <c r="G13" s="503"/>
      <c r="H13" s="512"/>
      <c r="I13" s="511"/>
      <c r="J13" s="511"/>
      <c r="K13" s="511"/>
      <c r="L13" s="511"/>
      <c r="M13" s="510"/>
    </row>
    <row r="14" spans="1:24">
      <c r="B14" s="461" t="s">
        <v>456</v>
      </c>
      <c r="C14" s="554">
        <v>105.18</v>
      </c>
      <c r="D14" s="377"/>
      <c r="E14" s="461" t="s">
        <v>433</v>
      </c>
      <c r="F14" s="573">
        <v>2.1000000000000001E-2</v>
      </c>
      <c r="G14" s="507"/>
      <c r="H14" s="467" t="str">
        <f>"2nd stage (years 5 through 10) growth at "&amp;TEXT(C28,"0.0%")</f>
        <v>2nd stage (years 5 through 10) growth at 17.5%</v>
      </c>
      <c r="I14" s="505"/>
      <c r="J14" s="505"/>
      <c r="K14" s="506"/>
      <c r="L14" s="505"/>
      <c r="M14" s="504"/>
      <c r="R14" s="500"/>
      <c r="S14" s="500"/>
      <c r="T14" s="500"/>
      <c r="U14" s="500"/>
      <c r="V14" s="500"/>
      <c r="W14" s="500"/>
      <c r="X14" s="500"/>
    </row>
    <row r="15" spans="1:24">
      <c r="B15" s="485" t="s">
        <v>430</v>
      </c>
      <c r="C15" s="555">
        <f ca="1">C13/C14-1</f>
        <v>0.19794637763833411</v>
      </c>
      <c r="D15" s="377"/>
      <c r="E15" s="461" t="s">
        <v>432</v>
      </c>
      <c r="F15" s="573">
        <v>2.7E-2</v>
      </c>
      <c r="G15" s="503"/>
      <c r="H15" s="461"/>
      <c r="I15" s="502" t="s">
        <v>431</v>
      </c>
      <c r="J15" s="502" t="s">
        <v>431</v>
      </c>
      <c r="K15" s="502" t="s">
        <v>431</v>
      </c>
      <c r="L15" s="502" t="s">
        <v>431</v>
      </c>
      <c r="M15" s="501" t="s">
        <v>431</v>
      </c>
      <c r="R15" s="500"/>
      <c r="S15" s="500"/>
      <c r="T15" s="500"/>
      <c r="U15" s="500"/>
      <c r="V15" s="500"/>
      <c r="W15" s="500"/>
      <c r="X15" s="500"/>
    </row>
    <row r="16" spans="1:24">
      <c r="B16" s="473"/>
      <c r="C16" s="495"/>
      <c r="D16" s="499"/>
      <c r="E16" s="461" t="s">
        <v>429</v>
      </c>
      <c r="F16" s="574">
        <v>1.1499999999999999</v>
      </c>
      <c r="G16" s="498"/>
      <c r="H16" s="461"/>
      <c r="I16" s="497">
        <v>6</v>
      </c>
      <c r="J16" s="497">
        <v>7</v>
      </c>
      <c r="K16" s="497">
        <v>8</v>
      </c>
      <c r="L16" s="497">
        <v>9</v>
      </c>
      <c r="M16" s="496">
        <v>10</v>
      </c>
    </row>
    <row r="17" spans="2:19">
      <c r="B17" s="467" t="s">
        <v>426</v>
      </c>
      <c r="C17" s="466"/>
      <c r="D17" s="377"/>
      <c r="E17" s="461" t="s">
        <v>428</v>
      </c>
      <c r="F17" s="573">
        <v>6.7500000000000004E-2</v>
      </c>
      <c r="G17" s="377"/>
      <c r="H17" s="489" t="s">
        <v>427</v>
      </c>
      <c r="I17" s="494">
        <f ca="1">+M10*(1+$C$28)</f>
        <v>1942.2540649002965</v>
      </c>
      <c r="J17" s="494">
        <f ca="1">+I17*(1+$C$28)</f>
        <v>2282.1485262578485</v>
      </c>
      <c r="K17" s="494">
        <f ca="1">+J17*(1+$C$28)</f>
        <v>2681.5245183529719</v>
      </c>
      <c r="L17" s="494">
        <f ca="1">+K17*(1+$C$28)</f>
        <v>3150.7913090647421</v>
      </c>
      <c r="M17" s="493">
        <f ca="1">+L17*(1+$C$28)</f>
        <v>3702.179788151072</v>
      </c>
    </row>
    <row r="18" spans="2:19">
      <c r="B18" s="461" t="s">
        <v>424</v>
      </c>
      <c r="C18" s="575" t="s">
        <v>486</v>
      </c>
      <c r="D18" s="377"/>
      <c r="E18" s="485" t="s">
        <v>423</v>
      </c>
      <c r="F18" s="490">
        <f>F14+F15+F16*F17</f>
        <v>0.12562499999999999</v>
      </c>
      <c r="G18" s="377"/>
      <c r="H18" s="485" t="s">
        <v>425</v>
      </c>
      <c r="I18" s="492">
        <f ca="1">I17/(1+$F$18)^I16</f>
        <v>954.86870086359818</v>
      </c>
      <c r="J18" s="492">
        <f ca="1">J17/(1+$F$18)^J16</f>
        <v>996.75355781430585</v>
      </c>
      <c r="K18" s="492">
        <f ca="1">K17/(1+$F$18)^K16</f>
        <v>1040.4756738983315</v>
      </c>
      <c r="L18" s="492">
        <f ca="1">L17/(1+$F$18)^L16</f>
        <v>1086.1156396051438</v>
      </c>
      <c r="M18" s="491">
        <f ca="1">M17/(1+$F$18)^M16</f>
        <v>1133.7575804873238</v>
      </c>
      <c r="S18" s="582"/>
    </row>
    <row r="19" spans="2:19">
      <c r="B19" s="461" t="s">
        <v>422</v>
      </c>
      <c r="C19" s="617">
        <f ca="1">'Income Statement'!DD44/1000</f>
        <v>79.760000000000005</v>
      </c>
      <c r="D19" s="377"/>
      <c r="E19" s="457"/>
      <c r="G19" s="377"/>
      <c r="H19" s="457"/>
      <c r="I19" s="344"/>
      <c r="J19" s="344"/>
      <c r="K19" s="344"/>
      <c r="L19" s="344"/>
      <c r="M19" s="344"/>
      <c r="S19" s="582"/>
    </row>
    <row r="20" spans="2:19">
      <c r="B20" s="461" t="s">
        <v>453</v>
      </c>
      <c r="C20" s="616">
        <f ca="1">'Income Statement'!DD44/1000</f>
        <v>79.760000000000005</v>
      </c>
      <c r="D20" s="377"/>
      <c r="E20" s="467" t="s">
        <v>421</v>
      </c>
      <c r="F20" s="466"/>
      <c r="G20" s="457"/>
      <c r="H20" s="467" t="str">
        <f>"3rd stage (perpetuity at "&amp;TEXT(C29,"0.0%")&amp;" growth rate)"</f>
        <v>3rd stage (perpetuity at 7.0% growth rate)</v>
      </c>
      <c r="I20" s="480"/>
      <c r="J20" s="480"/>
      <c r="K20" s="480"/>
      <c r="L20" s="480"/>
      <c r="M20" s="466"/>
      <c r="S20" s="582"/>
    </row>
    <row r="21" spans="2:19">
      <c r="B21" s="485" t="s">
        <v>419</v>
      </c>
      <c r="C21" s="484">
        <f ca="1">C14*C20</f>
        <v>8389.1568000000007</v>
      </c>
      <c r="D21" s="377"/>
      <c r="E21" s="461" t="s">
        <v>487</v>
      </c>
      <c r="F21" s="460">
        <f>C14/Summary!O58</f>
        <v>8.6696101850729477</v>
      </c>
      <c r="G21" s="379"/>
      <c r="H21" s="489" t="s">
        <v>420</v>
      </c>
      <c r="I21" s="488">
        <f ca="1">+M17*(1+C29)</f>
        <v>3961.3323733216471</v>
      </c>
      <c r="J21" s="487"/>
      <c r="K21" s="487"/>
      <c r="L21" s="487"/>
      <c r="M21" s="486"/>
    </row>
    <row r="22" spans="2:19">
      <c r="B22" s="377"/>
      <c r="C22" s="377"/>
      <c r="D22" s="377"/>
      <c r="E22" s="461" t="s">
        <v>473</v>
      </c>
      <c r="F22" s="460">
        <f ca="1">C14/Summary!P58</f>
        <v>8.1465720896624614</v>
      </c>
      <c r="G22" s="379"/>
      <c r="H22" s="459" t="s">
        <v>418</v>
      </c>
      <c r="I22" s="483">
        <f ca="1">(I21/(F18-C29))/((1+F18)^(M16))</f>
        <v>21808.909862857294</v>
      </c>
      <c r="J22" s="482"/>
      <c r="K22" s="482"/>
      <c r="L22" s="482"/>
      <c r="M22" s="481"/>
    </row>
    <row r="23" spans="2:19">
      <c r="B23" s="467" t="s">
        <v>417</v>
      </c>
      <c r="C23" s="466"/>
      <c r="D23" s="377"/>
      <c r="E23" s="461" t="s">
        <v>488</v>
      </c>
      <c r="F23" s="460">
        <f ca="1">C14/Summary!Q58</f>
        <v>6.8713009410685855</v>
      </c>
      <c r="G23" s="576"/>
      <c r="H23" s="457"/>
      <c r="I23" s="344"/>
      <c r="J23" s="344"/>
      <c r="K23" s="344"/>
      <c r="L23" s="344"/>
      <c r="M23" s="344"/>
    </row>
    <row r="24" spans="2:19">
      <c r="B24" s="461" t="s">
        <v>415</v>
      </c>
      <c r="C24" s="476">
        <v>5</v>
      </c>
      <c r="D24" s="377"/>
      <c r="E24" s="461" t="s">
        <v>489</v>
      </c>
      <c r="F24" s="460">
        <f>C14/Summary!O60</f>
        <v>1.7758280430170732</v>
      </c>
      <c r="G24" s="379"/>
      <c r="H24" s="467" t="s">
        <v>416</v>
      </c>
      <c r="I24" s="480"/>
      <c r="J24" s="480"/>
      <c r="K24" s="480"/>
      <c r="L24" s="480"/>
      <c r="M24" s="466"/>
    </row>
    <row r="25" spans="2:19">
      <c r="B25" s="461" t="s">
        <v>413</v>
      </c>
      <c r="C25" s="476">
        <v>5</v>
      </c>
      <c r="D25" s="377"/>
      <c r="E25" s="459" t="s">
        <v>490</v>
      </c>
      <c r="F25" s="458">
        <f ca="1">C14/Summary!P60</f>
        <v>1.5188498427785924</v>
      </c>
      <c r="G25" s="379"/>
      <c r="H25" s="479" t="s">
        <v>414</v>
      </c>
      <c r="I25" s="478"/>
      <c r="J25" s="478"/>
      <c r="K25" s="478"/>
      <c r="L25" s="478"/>
      <c r="M25" s="477">
        <f ca="1">+C13</f>
        <v>126</v>
      </c>
    </row>
    <row r="26" spans="2:19">
      <c r="B26" s="461" t="s">
        <v>411</v>
      </c>
      <c r="C26" s="474" t="s">
        <v>410</v>
      </c>
      <c r="D26" s="377"/>
      <c r="E26" s="473"/>
      <c r="F26" s="472"/>
      <c r="G26" s="577"/>
      <c r="H26" s="470" t="s">
        <v>412</v>
      </c>
      <c r="I26" s="469"/>
      <c r="J26" s="469"/>
      <c r="K26" s="469"/>
      <c r="L26" s="469"/>
      <c r="M26" s="475">
        <f ca="1">M25/Summary!BW60/(1-C9)</f>
        <v>2.0216674081479646</v>
      </c>
    </row>
    <row r="27" spans="2:19">
      <c r="B27" s="461"/>
      <c r="C27" s="578"/>
      <c r="D27" s="377"/>
      <c r="E27" s="467" t="s">
        <v>408</v>
      </c>
      <c r="F27" s="466"/>
      <c r="G27" s="471"/>
      <c r="H27" s="470" t="s">
        <v>409</v>
      </c>
      <c r="I27" s="469"/>
      <c r="J27" s="469"/>
      <c r="K27" s="469"/>
      <c r="L27" s="469"/>
      <c r="M27" s="468">
        <f>C29</f>
        <v>7.0000000000000007E-2</v>
      </c>
    </row>
    <row r="28" spans="2:19">
      <c r="B28" s="461" t="s">
        <v>406</v>
      </c>
      <c r="C28" s="579">
        <v>0.17499999999999999</v>
      </c>
      <c r="D28" s="377"/>
      <c r="E28" s="461" t="s">
        <v>487</v>
      </c>
      <c r="F28" s="460">
        <f ca="1">C13/Summary!O58</f>
        <v>10.385728116744547</v>
      </c>
      <c r="G28" s="377"/>
      <c r="H28" s="465" t="s">
        <v>407</v>
      </c>
      <c r="I28" s="464"/>
      <c r="J28" s="464"/>
      <c r="K28" s="464"/>
      <c r="L28" s="464"/>
      <c r="M28" s="463">
        <f ca="1">M26*(F18-M27)+M27</f>
        <v>0.18245524957823051</v>
      </c>
    </row>
    <row r="29" spans="2:19">
      <c r="B29" s="459" t="s">
        <v>405</v>
      </c>
      <c r="C29" s="580">
        <v>7.0000000000000007E-2</v>
      </c>
      <c r="D29" s="377"/>
      <c r="E29" s="461" t="s">
        <v>473</v>
      </c>
      <c r="F29" s="460">
        <f ca="1">C13/Summary!P58</f>
        <v>9.7591565249806997</v>
      </c>
      <c r="G29" s="462"/>
    </row>
    <row r="30" spans="2:19">
      <c r="D30" s="377"/>
      <c r="E30" s="461" t="s">
        <v>488</v>
      </c>
      <c r="F30" s="460">
        <f ca="1">C13/Summary!Q58</f>
        <v>8.2314500720159884</v>
      </c>
      <c r="G30" s="377"/>
    </row>
    <row r="31" spans="2:19">
      <c r="D31" s="377"/>
      <c r="E31" s="461" t="s">
        <v>489</v>
      </c>
      <c r="F31" s="460">
        <f ca="1">C13/Summary!O60</f>
        <v>2.1273467714408749</v>
      </c>
      <c r="G31" s="377"/>
    </row>
    <row r="32" spans="2:19">
      <c r="D32" s="377"/>
      <c r="E32" s="459" t="s">
        <v>490</v>
      </c>
      <c r="F32" s="458">
        <f ca="1">C13/Summary!P60</f>
        <v>1.8195006673331682</v>
      </c>
      <c r="G32" s="377"/>
      <c r="H32" s="377"/>
      <c r="I32" s="325"/>
      <c r="J32" s="325"/>
      <c r="K32" s="325"/>
      <c r="L32" s="325"/>
      <c r="M32" s="325"/>
    </row>
    <row r="33" spans="2:13">
      <c r="D33" s="377"/>
      <c r="G33" s="377"/>
      <c r="H33" s="377"/>
      <c r="I33" s="325"/>
      <c r="J33" s="325"/>
      <c r="K33" s="325"/>
      <c r="L33" s="325"/>
      <c r="M33" s="325"/>
    </row>
    <row r="34" spans="2:13">
      <c r="B34" s="325"/>
      <c r="C34" s="592"/>
      <c r="E34" s="325"/>
      <c r="F34" s="325"/>
    </row>
    <row r="35" spans="2:13" s="325" customFormat="1" ht="10.199999999999999">
      <c r="C35" s="591"/>
    </row>
    <row r="36" spans="2:13" s="325" customFormat="1" ht="10.199999999999999">
      <c r="C36" s="592"/>
    </row>
  </sheetData>
  <pageMargins left="0.75" right="0.75" top="1" bottom="1" header="0.5" footer="0.5"/>
  <pageSetup orientation="portrait" horizontalDpi="1200" verticalDpi="1200" r:id="rId1"/>
  <headerFooter alignWithMargins="0"/>
  <customProperties>
    <customPr name="Qube.Worksheet.Visibility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roperties xmlns="http://schemas.openxmlformats.org/officeDocument/2006/extended-properties">
  <Company>Goldman Sachs</Company>
  <Manager/>
</Properties>
</file>

<file path=customXml/item2.xml><?xml version="1.0" encoding="utf-8"?>
<cp:coreProperties xmlns:dc="http://purl.org/dc/elements/1.1/" xmlns:cp="http://schemas.openxmlformats.org/package/2006/metadata/core-properties">
  <dc:creator>cmacedo</dc:creator>
  <cp:keywords/>
  <dc:description/>
  <dc:subject/>
  <dc:title/>
  <cp:category/>
  <cp:contentStatus/>
</cp:coreProperties>
</file>

<file path=customXml/item3.xml><?xml version="1.0" encoding="utf-8"?>
<CoverPageProperties xmlns="http://schemas.microsoft.com/office/2006/coverPageProps">
  <PublishDate/>
  <Abstract/>
  <CompanyAddress/>
  <CompanyPhone/>
  <CompanyFax/>
  <CompanyEmail/>
</CoverPageProperties>
</file>

<file path=customXml/itemProps1.xml><?xml version="1.0" encoding="utf-8"?>
<ds:datastoreItem xmlns:ds="http://schemas.openxmlformats.org/officeDocument/2006/customXml" ds:itemID="{A918022E-F3CE-4125-AC03-156608861B97}">
  <ds:schemaRefs>
    <ds:schemaRef ds:uri="http://schemas.openxmlformats.org/officeDocument/2006/extended-properties"/>
  </ds:schemaRefs>
</ds:datastoreItem>
</file>

<file path=customXml/itemProps2.xml><?xml version="1.0" encoding="utf-8"?>
<ds:datastoreItem xmlns:ds="http://schemas.openxmlformats.org/officeDocument/2006/customXml" ds:itemID="{FB171FCB-BF76-4F8F-BC40-5727C39C7409}">
  <ds:schemaRefs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83E1162-A93F-45D4-8340-A81E2B0708DF}">
  <ds:schemaRefs>
    <ds:schemaRef ds:uri="http://schemas.microsoft.com/office/2006/coverPageProp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Title Page</vt:lpstr>
      <vt:lpstr>Income Statement</vt:lpstr>
      <vt:lpstr>Balance Sheet</vt:lpstr>
      <vt:lpstr>Assumptions</vt:lpstr>
      <vt:lpstr>Summary</vt:lpstr>
      <vt:lpstr>Decomp_ROE</vt:lpstr>
      <vt:lpstr>DDM US$</vt:lpstr>
      <vt:lpstr>Summary!Área_de_impresión</vt:lpstr>
      <vt:lpstr>'Title Page'!Área_de_impresión</vt:lpstr>
    </vt:vector>
  </TitlesOfParts>
  <Company>Goldman Sachs &amp;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G. Macedo</dc:creator>
  <cp:lastModifiedBy>Lenovo</cp:lastModifiedBy>
  <dcterms:created xsi:type="dcterms:W3CDTF">2013-06-05T07:53:03Z</dcterms:created>
  <dcterms:modified xsi:type="dcterms:W3CDTF">2021-09-23T05:11:32Z</dcterms:modified>
</cp:coreProperties>
</file>